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F. SUCC &amp; RET BY GENDER" sheetId="7" r:id="rId10"/>
    <sheet name="H. COURSE DATA" sheetId="8" r:id="rId11"/>
    <sheet name="I. SECTION DATA" sheetId="9" r:id="rId12"/>
    <sheet name="Worksheet" sheetId="10" r:id="rId13"/>
  </sheets>
  <definedNames>
    <definedName name="course_data">'H. COURSE DATA'!$A$5:$T$54</definedName>
    <definedName name="_xlnm._FilterDatabase" localSheetId="7" hidden="1">'H. COURSE DATA'!$A$5:$T$54</definedName>
    <definedName name="_xlnm.Print_Titles" localSheetId="7">'H. COURSE DATA'!$5:$5</definedName>
    <definedName name="_xlnm._FilterDatabase" localSheetId="8" hidden="1">'I. SECTION DATA'!$A$5:$S$95</definedName>
    <definedName name="_xlnm.Print_Titles" localSheetId="8">'I. SECTION DATA'!$5:$5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<sst xmlns="http://schemas.openxmlformats.org/spreadsheetml/2006/main" uniqueCount="149">
  <si>
    <t>AMSL</t>
  </si>
  <si>
    <t>2017-2018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</si>
  <si>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</si>
  <si>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</si>
  <si>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</si>
  <si>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</si>
  <si>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</si>
  <si>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</si>
  <si>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</si>
  <si>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</si>
  <si>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</si>
  <si>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</si>
  <si>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</si>
  <si>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Term</t>
  </si>
  <si>
    <t>Sections</t>
  </si>
  <si>
    <t>Fill</t>
  </si>
  <si>
    <t>Enroll</t>
  </si>
  <si>
    <t>Mass Cap</t>
  </si>
  <si>
    <t>Fall 2015</t>
  </si>
  <si>
    <t>Winter 2016</t>
  </si>
  <si>
    <t>Spring 2016</t>
  </si>
  <si>
    <t>Summer 2016</t>
  </si>
  <si>
    <t>Fall 2016</t>
  </si>
  <si>
    <t>Winter 2017</t>
  </si>
  <si>
    <t>Spring 2017</t>
  </si>
  <si>
    <t>Summer 2017</t>
  </si>
  <si>
    <t>Fall 2017</t>
  </si>
  <si>
    <t>Winter 2018</t>
  </si>
  <si>
    <t>Spring 2018</t>
  </si>
  <si>
    <t>Summer 2018</t>
  </si>
  <si>
    <t>Totals &amp; Averages:</t>
  </si>
  <si>
    <t>Academic Year</t>
  </si>
  <si>
    <t>2014-2015-2016</t>
  </si>
  <si>
    <t>2015-2016-2017</t>
  </si>
  <si>
    <t>2016-2017-2018</t>
  </si>
  <si>
    <t>Data Definitions and Calculations</t>
  </si>
  <si>
    <t>Academic Year:</t>
  </si>
  <si>
    <t>Period of time schools use to measure a quantity of study. Academic year for Imperial Valley College is from July 1st to June 30th.</t>
  </si>
  <si>
    <t>Day Sections:</t>
  </si>
  <si>
    <t>Indicates whether this course section is a day class, courses before 4:30pm.</t>
  </si>
  <si>
    <t>Enrollment:</t>
  </si>
  <si>
    <t>The number of students in the class. Students may be enrolled in more than one course and would be counted in each course for the term.</t>
  </si>
  <si>
    <t>Extended Day:</t>
  </si>
  <si>
    <t>Indicates whether this course section is an evening class, courses after 4:30 pm.</t>
  </si>
  <si>
    <t>Fill:</t>
  </si>
  <si>
    <t>Metric used to measure demand of a course/section. Enrollment is divided by the class mass cap. ( Enrollment / Mass Cap ) = Fill Rate</t>
  </si>
  <si>
    <t>Mass Cap:</t>
  </si>
  <si>
    <t>Refers to the class capacity, maximum number of students a teacher may face during a given period of instruction.</t>
  </si>
  <si>
    <t>Online:</t>
  </si>
  <si>
    <t>Indicates whether this course section is online.</t>
  </si>
  <si>
    <t>Section:</t>
  </si>
  <si>
    <t>An offering of a course.</t>
  </si>
  <si>
    <t>b. Productivity</t>
  </si>
  <si>
    <t>What are the trends in productivity?</t>
  </si>
  <si>
    <t>WSCH</t>
  </si>
  <si>
    <t>FTEF</t>
  </si>
  <si>
    <t>WSCH/FTEF</t>
  </si>
  <si>
    <t>2015-2016</t>
  </si>
  <si>
    <t>2016-2017</t>
  </si>
  <si>
    <t>Disclaimer: This report reflects Productivity using the 16-week Term Length Multiplier (TLM).</t>
  </si>
  <si>
    <t>Please do not compare Productivity to previous program review reports using the 18-week TLM.</t>
  </si>
  <si>
    <t>FTEF:</t>
  </si>
  <si>
    <t>In a FTEF, a faculty member’s actual workload is standardized against the teaching load. Thus, FTEF does not represent an actual number of faculty members; it is a conceptual measure workload at an academic department, or an institution. The formula to calculate FTEF is expressed by the equation below: FTEF = WFCH / Contract teaching load of the discipline where WFCH = standard course hours</t>
  </si>
  <si>
    <t>Productivity (WSCH/FTEF):</t>
  </si>
  <si>
    <t>Statewide, a measure of efficiency is WSCH/FTEF where WSCH is divided by the Full-time Equivalent Faculty (FTEF).  This tells us how much of a faculty load it takes to generate a given WSCH. District has established 565 as the target WSCH/FTEF standard.</t>
  </si>
  <si>
    <t>Weekly Student Contact Hours (WSCH):</t>
  </si>
  <si>
    <t>It presents a total number of hours faculty contacted students weekly in an academic department or an institution. WSCH = census enrollment x class hours per week (WCH).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</si>
  <si>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</si>
  <si>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</si>
  <si>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</si>
  <si>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</si>
  <si>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</si>
  <si>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Retention:</t>
  </si>
  <si>
    <t>The rate or count of students retained in a class at the end of the semester. Retention rate = (A,B,C,D,F,N,P,I)/(A,B,C,D,F,P,N,I,W).</t>
  </si>
  <si>
    <t>Success:</t>
  </si>
  <si>
    <t>The rate or count of students who received a passing grade of A, B, C, P at the end of the semester. Success rate = (A,B,C,P)/(A,B,C,D,F,P,N,W,I)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</si>
  <si>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</si>
  <si>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</si>
  <si>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</si>
  <si>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</si>
  <si>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</si>
  <si>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</si>
  <si>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</si>
  <si>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</si>
  <si>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</si>
  <si>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</si>
  <si>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</si>
  <si>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The rate or count of students retained in a class at the end of the semester. Retention rate = (A,B,C,D,F,N,P,I)/(A,B,C,D,F,P,N,I,W)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</si>
  <si>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</si>
  <si>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</si>
  <si>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</si>
  <si>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</si>
  <si>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</si>
  <si>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</si>
  <si>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</si>
  <si>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</si>
  <si>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</si>
  <si>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Success and Retention by Gender</t>
  </si>
  <si>
    <t>Discuss the success and retention rates by the gender of our students.</t>
  </si>
  <si>
    <t>Female</t>
  </si>
  <si>
    <t>Male</t>
  </si>
  <si>
    <t>Unknown</t>
  </si>
  <si>
    <t>H. Course Data</t>
  </si>
  <si>
    <t>Analyze the raw course data information if needed.</t>
  </si>
  <si>
    <t>To create an Excel table simply click a cell inside of the data below, then switch to the Insert tab above and click on Table and it will give you more filtering features.</t>
  </si>
  <si>
    <t>ACADEMIC_YEAR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</si>
  <si>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</si>
  <si>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</si>
  <si>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</si>
  <si>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</si>
  <si>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</si>
  <si>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</si>
  <si>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</si>
  <si>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</si>
  <si>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</si>
  <si>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SUCCESS_NUMERATOR</t>
  </si>
  <si>
    <t>SUCCESS</t>
  </si>
  <si>
    <t>RETENTION_NUMERATOR</t>
  </si>
  <si>
    <t>RETENTION</t>
  </si>
  <si>
    <t>WCH</t>
  </si>
  <si>
    <t>PRODUCTIVITY</t>
  </si>
  <si>
    <t>FTES</t>
  </si>
  <si>
    <t>WSCH_PER_FTES</t>
  </si>
  <si>
    <t>AMSL100</t>
  </si>
  <si>
    <t>day</t>
  </si>
  <si>
    <t>ex_day</t>
  </si>
  <si>
    <t>AMSL102</t>
  </si>
  <si>
    <t>AMSL104</t>
  </si>
  <si>
    <t>AMSL110</t>
  </si>
  <si>
    <t>AMSL112</t>
  </si>
  <si>
    <t>AMSL200</t>
  </si>
  <si>
    <t>AMSL202</t>
  </si>
  <si>
    <t>AMSL204</t>
  </si>
  <si>
    <t>AMSL210</t>
  </si>
  <si>
    <t>AMSL212</t>
  </si>
  <si>
    <t>AMSL220</t>
  </si>
  <si>
    <t>i. Section Data</t>
  </si>
  <si>
    <t>Analyze the raw section data information if needed.</t>
  </si>
  <si>
    <t>CRN</t>
  </si>
  <si>
    <t>DURATION</t>
  </si>
  <si>
    <t>INSTRUCTOR</t>
  </si>
  <si>
    <t>AVG_GPA</t>
  </si>
  <si>
    <t>Full Term</t>
  </si>
  <si>
    <t>Moran</t>
  </si>
  <si>
    <t>Gutierrez</t>
  </si>
  <si>
    <t>Mendoza</t>
  </si>
  <si>
    <t>Galaviz</t>
  </si>
  <si>
    <t>Garcia</t>
  </si>
  <si>
    <t>Henderson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</si>
</sst>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CD2E26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3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5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5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tru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7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4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4" borderId="1" applyFont="0" applyNumberFormat="1" applyFill="1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4"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006100"/>
      </font>
      <fill>
        <patternFill patternType="solid">
          <bgColor rgb="FFC6EFCE"/>
        </patternFill>
      </fill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8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"/>
  <sheetViews>
    <sheetView tabSelected="0" workbookViewId="0" showGridLines="true" showRowColHeaders="1">
      <selection activeCell="A37" sqref="A37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14</v>
      </c>
      <c r="G5" s="9" t="s">
        <v>15</v>
      </c>
      <c r="H5" s="9" t="s">
        <v>16</v>
      </c>
      <c r="I5" s="9" t="s">
        <v>17</v>
      </c>
      <c r="J5" s="9" t="s">
        <v>14</v>
      </c>
      <c r="K5" s="9" t="s">
        <v>15</v>
      </c>
      <c r="L5" s="9" t="s">
        <v>16</v>
      </c>
      <c r="M5" s="9" t="s">
        <v>17</v>
      </c>
    </row>
    <row r="6" spans="1:13">
      <c r="A6" s="10" t="s">
        <v>18</v>
      </c>
      <c r="B6" s="11">
        <v>10</v>
      </c>
      <c r="C6" s="12" t="str">
        <f>IF(E6=0, 0, (D6/E6))</f>
        <v>0</v>
      </c>
      <c r="D6" s="11">
        <v>242</v>
      </c>
      <c r="E6" s="11">
        <v>280</v>
      </c>
      <c r="F6" s="11">
        <v>3</v>
      </c>
      <c r="G6" s="12" t="str">
        <f>IF(I6=0, 0, (H6/I6))</f>
        <v>0</v>
      </c>
      <c r="H6" s="11">
        <v>83</v>
      </c>
      <c r="I6" s="11">
        <v>84</v>
      </c>
      <c r="J6" s="11">
        <v>0</v>
      </c>
      <c r="K6" s="12" t="str">
        <f>IF(M6=0, 0, (L6/M6))</f>
        <v>0</v>
      </c>
      <c r="L6" s="11">
        <v>0</v>
      </c>
      <c r="M6" s="11">
        <v>0</v>
      </c>
    </row>
    <row r="7" spans="1:13">
      <c r="A7" s="10" t="s">
        <v>19</v>
      </c>
      <c r="B7" s="10">
        <v>1</v>
      </c>
      <c r="C7" s="13" t="str">
        <f>IF(E7=0, 0, (D7/E7))</f>
        <v>0</v>
      </c>
      <c r="D7" s="10">
        <v>19</v>
      </c>
      <c r="E7" s="10">
        <v>28</v>
      </c>
      <c r="F7" s="10">
        <v>0</v>
      </c>
      <c r="G7" s="13" t="str">
        <f>IF(I7=0, 0, (H7/I7))</f>
        <v>0</v>
      </c>
      <c r="H7" s="10">
        <v>0</v>
      </c>
      <c r="I7" s="10">
        <v>0</v>
      </c>
      <c r="J7" s="10">
        <v>0</v>
      </c>
      <c r="K7" s="13" t="str">
        <f>IF(M7=0, 0, (L7/M7))</f>
        <v>0</v>
      </c>
      <c r="L7" s="10">
        <v>0</v>
      </c>
      <c r="M7" s="10">
        <v>0</v>
      </c>
    </row>
    <row r="8" spans="1:13">
      <c r="A8" s="10" t="s">
        <v>20</v>
      </c>
      <c r="B8" s="11">
        <v>10</v>
      </c>
      <c r="C8" s="12" t="str">
        <f>IF(E8=0, 0, (D8/E8))</f>
        <v>0</v>
      </c>
      <c r="D8" s="11">
        <v>283</v>
      </c>
      <c r="E8" s="11">
        <v>280</v>
      </c>
      <c r="F8" s="11">
        <v>3</v>
      </c>
      <c r="G8" s="12" t="str">
        <f>IF(I8=0, 0, (H8/I8))</f>
        <v>0</v>
      </c>
      <c r="H8" s="11">
        <v>61</v>
      </c>
      <c r="I8" s="11">
        <v>84</v>
      </c>
      <c r="J8" s="11">
        <v>0</v>
      </c>
      <c r="K8" s="12" t="str">
        <f>IF(M8=0, 0, (L8/M8))</f>
        <v>0</v>
      </c>
      <c r="L8" s="11">
        <v>0</v>
      </c>
      <c r="M8" s="11">
        <v>0</v>
      </c>
    </row>
    <row r="9" spans="1:13">
      <c r="A9" s="10" t="s">
        <v>21</v>
      </c>
      <c r="B9" s="10">
        <v>3</v>
      </c>
      <c r="C9" s="13" t="str">
        <f>IF(E9=0, 0, (D9/E9))</f>
        <v>0</v>
      </c>
      <c r="D9" s="10">
        <v>60</v>
      </c>
      <c r="E9" s="10">
        <v>84</v>
      </c>
      <c r="F9" s="10">
        <v>0</v>
      </c>
      <c r="G9" s="13" t="str">
        <f>IF(I9=0, 0, (H9/I9))</f>
        <v>0</v>
      </c>
      <c r="H9" s="10">
        <v>0</v>
      </c>
      <c r="I9" s="10">
        <v>0</v>
      </c>
      <c r="J9" s="10">
        <v>0</v>
      </c>
      <c r="K9" s="13" t="str">
        <f>IF(M9=0, 0, (L9/M9))</f>
        <v>0</v>
      </c>
      <c r="L9" s="10">
        <v>0</v>
      </c>
      <c r="M9" s="10">
        <v>0</v>
      </c>
    </row>
    <row r="10" spans="1:13">
      <c r="A10" s="10" t="s">
        <v>22</v>
      </c>
      <c r="B10" s="11">
        <v>11</v>
      </c>
      <c r="C10" s="12" t="str">
        <f>IF(E10=0, 0, (D10/E10))</f>
        <v>0</v>
      </c>
      <c r="D10" s="11">
        <v>317</v>
      </c>
      <c r="E10" s="11">
        <v>330</v>
      </c>
      <c r="F10" s="11">
        <v>2</v>
      </c>
      <c r="G10" s="12" t="str">
        <f>IF(I10=0, 0, (H10/I10))</f>
        <v>0</v>
      </c>
      <c r="H10" s="11">
        <v>54</v>
      </c>
      <c r="I10" s="11">
        <v>60</v>
      </c>
      <c r="J10" s="11">
        <v>0</v>
      </c>
      <c r="K10" s="12" t="str">
        <f>IF(M10=0, 0, (L10/M10))</f>
        <v>0</v>
      </c>
      <c r="L10" s="11">
        <v>0</v>
      </c>
      <c r="M10" s="11">
        <v>0</v>
      </c>
    </row>
    <row r="11" spans="1:13">
      <c r="A11" s="10" t="s">
        <v>23</v>
      </c>
      <c r="B11" s="10">
        <v>1</v>
      </c>
      <c r="C11" s="13" t="str">
        <f>IF(E11=0, 0, (D11/E11))</f>
        <v>0</v>
      </c>
      <c r="D11" s="10">
        <v>14</v>
      </c>
      <c r="E11" s="10">
        <v>30</v>
      </c>
      <c r="F11" s="10">
        <v>0</v>
      </c>
      <c r="G11" s="13" t="str">
        <f>IF(I11=0, 0, (H11/I11))</f>
        <v>0</v>
      </c>
      <c r="H11" s="10">
        <v>0</v>
      </c>
      <c r="I11" s="10">
        <v>0</v>
      </c>
      <c r="J11" s="10">
        <v>0</v>
      </c>
      <c r="K11" s="13" t="str">
        <f>IF(M11=0, 0, (L11/M11))</f>
        <v>0</v>
      </c>
      <c r="L11" s="10">
        <v>0</v>
      </c>
      <c r="M11" s="10">
        <v>0</v>
      </c>
    </row>
    <row r="12" spans="1:13">
      <c r="A12" s="10" t="s">
        <v>24</v>
      </c>
      <c r="B12" s="11">
        <v>11</v>
      </c>
      <c r="C12" s="12" t="str">
        <f>IF(E12=0, 0, (D12/E12))</f>
        <v>0</v>
      </c>
      <c r="D12" s="11">
        <v>287</v>
      </c>
      <c r="E12" s="11">
        <v>330</v>
      </c>
      <c r="F12" s="11">
        <v>4</v>
      </c>
      <c r="G12" s="12" t="str">
        <f>IF(I12=0, 0, (H12/I12))</f>
        <v>0</v>
      </c>
      <c r="H12" s="11">
        <v>84</v>
      </c>
      <c r="I12" s="11">
        <v>120</v>
      </c>
      <c r="J12" s="11">
        <v>0</v>
      </c>
      <c r="K12" s="12" t="str">
        <f>IF(M12=0, 0, (L12/M12))</f>
        <v>0</v>
      </c>
      <c r="L12" s="11">
        <v>0</v>
      </c>
      <c r="M12" s="11">
        <v>0</v>
      </c>
    </row>
    <row r="13" spans="1:13">
      <c r="A13" s="10" t="s">
        <v>25</v>
      </c>
      <c r="B13" s="10">
        <v>1</v>
      </c>
      <c r="C13" s="13" t="str">
        <f>IF(E13=0, 0, (D13/E13))</f>
        <v>0</v>
      </c>
      <c r="D13" s="10">
        <v>17</v>
      </c>
      <c r="E13" s="10">
        <v>30</v>
      </c>
      <c r="F13" s="10">
        <v>0</v>
      </c>
      <c r="G13" s="13" t="str">
        <f>IF(I13=0, 0, (H13/I13))</f>
        <v>0</v>
      </c>
      <c r="H13" s="10">
        <v>0</v>
      </c>
      <c r="I13" s="10">
        <v>0</v>
      </c>
      <c r="J13" s="10">
        <v>0</v>
      </c>
      <c r="K13" s="13" t="str">
        <f>IF(M13=0, 0, (L13/M13))</f>
        <v>0</v>
      </c>
      <c r="L13" s="10">
        <v>0</v>
      </c>
      <c r="M13" s="10">
        <v>0</v>
      </c>
    </row>
    <row r="14" spans="1:13">
      <c r="A14" s="10" t="s">
        <v>26</v>
      </c>
      <c r="B14" s="11">
        <v>11</v>
      </c>
      <c r="C14" s="12" t="str">
        <f>IF(E14=0, 0, (D14/E14))</f>
        <v>0</v>
      </c>
      <c r="D14" s="11">
        <v>304</v>
      </c>
      <c r="E14" s="11">
        <v>330</v>
      </c>
      <c r="F14" s="11">
        <v>3</v>
      </c>
      <c r="G14" s="12" t="str">
        <f>IF(I14=0, 0, (H14/I14))</f>
        <v>0</v>
      </c>
      <c r="H14" s="11">
        <v>102</v>
      </c>
      <c r="I14" s="11">
        <v>90</v>
      </c>
      <c r="J14" s="11">
        <v>0</v>
      </c>
      <c r="K14" s="12" t="str">
        <f>IF(M14=0, 0, (L14/M14))</f>
        <v>0</v>
      </c>
      <c r="L14" s="11">
        <v>0</v>
      </c>
      <c r="M14" s="11">
        <v>0</v>
      </c>
    </row>
    <row r="15" spans="1:13">
      <c r="A15" s="10" t="s">
        <v>27</v>
      </c>
      <c r="B15" s="10">
        <v>1</v>
      </c>
      <c r="C15" s="13" t="str">
        <f>IF(E15=0, 0, (D15/E15))</f>
        <v>0</v>
      </c>
      <c r="D15" s="10">
        <v>21</v>
      </c>
      <c r="E15" s="10">
        <v>30</v>
      </c>
      <c r="F15" s="10">
        <v>0</v>
      </c>
      <c r="G15" s="13" t="str">
        <f>IF(I15=0, 0, (H15/I15))</f>
        <v>0</v>
      </c>
      <c r="H15" s="10">
        <v>0</v>
      </c>
      <c r="I15" s="10">
        <v>0</v>
      </c>
      <c r="J15" s="10">
        <v>0</v>
      </c>
      <c r="K15" s="13" t="str">
        <f>IF(M15=0, 0, (L15/M15))</f>
        <v>0</v>
      </c>
      <c r="L15" s="10">
        <v>0</v>
      </c>
      <c r="M15" s="10">
        <v>0</v>
      </c>
    </row>
    <row r="16" spans="1:13">
      <c r="A16" s="10" t="s">
        <v>28</v>
      </c>
      <c r="B16" s="11">
        <v>10</v>
      </c>
      <c r="C16" s="12" t="str">
        <f>IF(E16=0, 0, (D16/E16))</f>
        <v>0</v>
      </c>
      <c r="D16" s="11">
        <v>280</v>
      </c>
      <c r="E16" s="11">
        <v>300</v>
      </c>
      <c r="F16" s="11">
        <v>3</v>
      </c>
      <c r="G16" s="12" t="str">
        <f>IF(I16=0, 0, (H16/I16))</f>
        <v>0</v>
      </c>
      <c r="H16" s="11">
        <v>75</v>
      </c>
      <c r="I16" s="11">
        <v>90</v>
      </c>
      <c r="J16" s="11">
        <v>0</v>
      </c>
      <c r="K16" s="12" t="str">
        <f>IF(M16=0, 0, (L16/M16))</f>
        <v>0</v>
      </c>
      <c r="L16" s="11">
        <v>0</v>
      </c>
      <c r="M16" s="11">
        <v>0</v>
      </c>
    </row>
    <row r="17" spans="1:13">
      <c r="A17" s="10" t="s">
        <v>29</v>
      </c>
      <c r="B17" s="10">
        <v>2</v>
      </c>
      <c r="C17" s="13" t="str">
        <f>IF(E17=0, 0, (D17/E17))</f>
        <v>0</v>
      </c>
      <c r="D17" s="10">
        <v>45</v>
      </c>
      <c r="E17" s="10">
        <v>60</v>
      </c>
      <c r="F17" s="10">
        <v>0</v>
      </c>
      <c r="G17" s="13" t="str">
        <f>IF(I17=0, 0, (H17/I17))</f>
        <v>0</v>
      </c>
      <c r="H17" s="10">
        <v>0</v>
      </c>
      <c r="I17" s="10">
        <v>0</v>
      </c>
      <c r="J17" s="10">
        <v>0</v>
      </c>
      <c r="K17" s="13" t="str">
        <f>IF(M17=0, 0, (L17/M17))</f>
        <v>0</v>
      </c>
      <c r="L17" s="10">
        <v>0</v>
      </c>
      <c r="M17" s="10">
        <v>0</v>
      </c>
    </row>
    <row r="18" spans="1:13">
      <c r="A18" s="14" t="s">
        <v>30</v>
      </c>
      <c r="B18" s="15" t="str">
        <f>SUM(B6:B17)</f>
        <v>0</v>
      </c>
      <c r="C18" s="16" t="str">
        <f>IF(E18=0, 0, (D18/E18))</f>
        <v>0</v>
      </c>
      <c r="D18" s="15" t="str">
        <f>SUM(D6:D17)</f>
        <v>0</v>
      </c>
      <c r="E18" s="15" t="str">
        <f>SUM(E6:E17)</f>
        <v>0</v>
      </c>
      <c r="F18" s="15" t="str">
        <f>SUM(F6:F17)</f>
        <v>0</v>
      </c>
      <c r="G18" s="16" t="str">
        <f>IF(I18=0, 0, (H18/I18))</f>
        <v>0</v>
      </c>
      <c r="H18" s="15" t="str">
        <f>SUM(H6:H17)</f>
        <v>0</v>
      </c>
      <c r="I18" s="15" t="str">
        <f>SUM(I6:I17)</f>
        <v>0</v>
      </c>
      <c r="J18" s="15" t="str">
        <f>SUM(J6:J17)</f>
        <v>0</v>
      </c>
      <c r="K18" s="16" t="str">
        <f>IF(M18=0, 0, (L18/M18))</f>
        <v>0</v>
      </c>
      <c r="L18" s="15" t="str">
        <f>SUM(L6:L17)</f>
        <v>0</v>
      </c>
      <c r="M18" s="15" t="str">
        <f>SUM(M6:M17)</f>
        <v>0</v>
      </c>
    </row>
    <row r="20" spans="1:13">
      <c r="B20" s="9" t="s">
        <v>10</v>
      </c>
      <c r="C20" s="9"/>
      <c r="D20" s="9"/>
      <c r="E20" s="9"/>
      <c r="F20" s="9" t="s">
        <v>11</v>
      </c>
      <c r="G20" s="9"/>
      <c r="H20" s="9"/>
      <c r="I20" s="9"/>
      <c r="J20" s="9" t="s">
        <v>12</v>
      </c>
      <c r="K20" s="9"/>
      <c r="L20" s="9"/>
      <c r="M20" s="9"/>
    </row>
    <row r="21" spans="1:13">
      <c r="A21" s="9" t="s">
        <v>31</v>
      </c>
      <c r="B21" s="9" t="s">
        <v>14</v>
      </c>
      <c r="C21" s="9" t="s">
        <v>15</v>
      </c>
      <c r="D21" s="9" t="s">
        <v>16</v>
      </c>
      <c r="E21" s="9" t="s">
        <v>17</v>
      </c>
      <c r="F21" s="9" t="s">
        <v>14</v>
      </c>
      <c r="G21" s="9" t="s">
        <v>15</v>
      </c>
      <c r="H21" s="9" t="s">
        <v>16</v>
      </c>
      <c r="I21" s="9" t="s">
        <v>17</v>
      </c>
      <c r="J21" s="9" t="s">
        <v>14</v>
      </c>
      <c r="K21" s="9" t="s">
        <v>15</v>
      </c>
      <c r="L21" s="9" t="s">
        <v>16</v>
      </c>
      <c r="M21" s="9" t="s">
        <v>17</v>
      </c>
    </row>
    <row r="22" spans="1:13">
      <c r="A22" s="10" t="s">
        <v>32</v>
      </c>
      <c r="B22" s="11">
        <v>24</v>
      </c>
      <c r="C22" s="12" t="str">
        <f>IF(E22=0, 0, (D22/E22))</f>
        <v>0</v>
      </c>
      <c r="D22" s="11">
        <v>604</v>
      </c>
      <c r="E22" s="11">
        <v>672</v>
      </c>
      <c r="F22" s="11">
        <v>6</v>
      </c>
      <c r="G22" s="12" t="str">
        <f>IF(I22=0, 0, (H22/I22))</f>
        <v>0</v>
      </c>
      <c r="H22" s="11">
        <v>144</v>
      </c>
      <c r="I22" s="11">
        <v>168</v>
      </c>
      <c r="J22" s="11">
        <v>0</v>
      </c>
      <c r="K22" s="12" t="str">
        <f>IF(M22=0, 0, (L22/M22))</f>
        <v>0</v>
      </c>
      <c r="L22" s="11">
        <v>0</v>
      </c>
      <c r="M22" s="11">
        <v>0</v>
      </c>
    </row>
    <row r="23" spans="1:13">
      <c r="A23" s="10" t="s">
        <v>33</v>
      </c>
      <c r="B23" s="10">
        <v>24</v>
      </c>
      <c r="C23" s="13" t="str">
        <f>IF(E23=0, 0, (D23/E23))</f>
        <v>0</v>
      </c>
      <c r="D23" s="10">
        <v>635</v>
      </c>
      <c r="E23" s="10">
        <v>720</v>
      </c>
      <c r="F23" s="10">
        <v>6</v>
      </c>
      <c r="G23" s="13" t="str">
        <f>IF(I23=0, 0, (H23/I23))</f>
        <v>0</v>
      </c>
      <c r="H23" s="10">
        <v>138</v>
      </c>
      <c r="I23" s="10">
        <v>180</v>
      </c>
      <c r="J23" s="10">
        <v>0</v>
      </c>
      <c r="K23" s="13" t="str">
        <f>IF(M23=0, 0, (L23/M23))</f>
        <v>0</v>
      </c>
      <c r="L23" s="10">
        <v>0</v>
      </c>
      <c r="M23" s="10">
        <v>0</v>
      </c>
    </row>
    <row r="24" spans="1:13">
      <c r="A24" s="10" t="s">
        <v>34</v>
      </c>
      <c r="B24" s="11">
        <v>24</v>
      </c>
      <c r="C24" s="12" t="str">
        <f>IF(E24=0, 0, (D24/E24))</f>
        <v>0</v>
      </c>
      <c r="D24" s="11">
        <v>650</v>
      </c>
      <c r="E24" s="11">
        <v>720</v>
      </c>
      <c r="F24" s="11">
        <v>6</v>
      </c>
      <c r="G24" s="12" t="str">
        <f>IF(I24=0, 0, (H24/I24))</f>
        <v>0</v>
      </c>
      <c r="H24" s="11">
        <v>177</v>
      </c>
      <c r="I24" s="11">
        <v>180</v>
      </c>
      <c r="J24" s="11">
        <v>0</v>
      </c>
      <c r="K24" s="12" t="str">
        <f>IF(M24=0, 0, (L24/M24))</f>
        <v>0</v>
      </c>
      <c r="L24" s="11">
        <v>0</v>
      </c>
      <c r="M24" s="11">
        <v>0</v>
      </c>
    </row>
    <row r="25" spans="1:13">
      <c r="A25" s="14" t="s">
        <v>30</v>
      </c>
      <c r="B25" s="15" t="str">
        <f>SUM(B22:B24)</f>
        <v>0</v>
      </c>
      <c r="C25" s="16" t="str">
        <f>IF(E25=0, 0, (D25/E25))</f>
        <v>0</v>
      </c>
      <c r="D25" s="15" t="str">
        <f>SUM(D22:D24)</f>
        <v>0</v>
      </c>
      <c r="E25" s="15" t="str">
        <f>SUM(E22:E24)</f>
        <v>0</v>
      </c>
      <c r="F25" s="15" t="str">
        <f>SUM(F22:F24)</f>
        <v>0</v>
      </c>
      <c r="G25" s="16" t="str">
        <f>IF(I25=0, 0, (H25/I25))</f>
        <v>0</v>
      </c>
      <c r="H25" s="15" t="str">
        <f>SUM(H22:H24)</f>
        <v>0</v>
      </c>
      <c r="I25" s="15" t="str">
        <f>SUM(I22:I24)</f>
        <v>0</v>
      </c>
      <c r="J25" s="15" t="str">
        <f>SUM(J22:J24)</f>
        <v>0</v>
      </c>
      <c r="K25" s="16" t="str">
        <f>IF(M25=0, 0, (L25/M25))</f>
        <v>0</v>
      </c>
      <c r="L25" s="15" t="str">
        <f>SUM(L22:L24)</f>
        <v>0</v>
      </c>
      <c r="M25" s="15" t="str">
        <f>SUM(M22:M24)</f>
        <v>0</v>
      </c>
    </row>
    <row r="28" spans="1:13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30" spans="1:13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</row>
    <row r="31" spans="1:13">
      <c r="A31" s="17" t="s">
        <v>38</v>
      </c>
      <c r="B31" s="18"/>
      <c r="C31" t="s">
        <v>39</v>
      </c>
      <c r="D31"/>
      <c r="E31"/>
      <c r="F31"/>
      <c r="G31"/>
      <c r="H31"/>
      <c r="I31"/>
      <c r="J31"/>
      <c r="K31"/>
      <c r="L31"/>
      <c r="M31"/>
    </row>
    <row r="32" spans="1:13">
      <c r="A32" s="17" t="s">
        <v>40</v>
      </c>
      <c r="B32" s="18"/>
      <c r="C32" t="s">
        <v>41</v>
      </c>
      <c r="D32"/>
      <c r="E32"/>
      <c r="F32"/>
      <c r="G32"/>
      <c r="H32"/>
      <c r="I32"/>
      <c r="J32"/>
      <c r="K32"/>
      <c r="L32"/>
      <c r="M32"/>
    </row>
    <row r="33" spans="1:13">
      <c r="A33" s="17" t="s">
        <v>42</v>
      </c>
      <c r="B33" s="18"/>
      <c r="C33" t="s">
        <v>43</v>
      </c>
      <c r="D33"/>
      <c r="E33"/>
      <c r="F33"/>
      <c r="G33"/>
      <c r="H33"/>
      <c r="I33"/>
      <c r="J33"/>
      <c r="K33"/>
      <c r="L33"/>
      <c r="M33"/>
    </row>
    <row r="34" spans="1:13">
      <c r="A34" s="17" t="s">
        <v>44</v>
      </c>
      <c r="B34" s="18"/>
      <c r="C34" t="s">
        <v>45</v>
      </c>
      <c r="D34"/>
      <c r="E34"/>
      <c r="F34"/>
      <c r="G34"/>
      <c r="H34"/>
      <c r="I34"/>
      <c r="J34"/>
      <c r="K34"/>
      <c r="L34"/>
      <c r="M34"/>
    </row>
    <row r="35" spans="1:13">
      <c r="A35" s="17" t="s">
        <v>46</v>
      </c>
      <c r="B35" s="18"/>
      <c r="C35" t="s">
        <v>47</v>
      </c>
      <c r="D35"/>
      <c r="E35"/>
      <c r="F35"/>
      <c r="G35"/>
      <c r="H35"/>
      <c r="I35"/>
      <c r="J35"/>
      <c r="K35"/>
      <c r="L35"/>
      <c r="M35"/>
    </row>
    <row r="36" spans="1:13">
      <c r="A36" s="17" t="s">
        <v>48</v>
      </c>
      <c r="B36" s="18"/>
      <c r="C36" t="s">
        <v>49</v>
      </c>
      <c r="D36"/>
      <c r="E36"/>
      <c r="F36"/>
      <c r="G36"/>
      <c r="H36"/>
      <c r="I36"/>
      <c r="J36"/>
      <c r="K36"/>
      <c r="L36"/>
      <c r="M36"/>
    </row>
    <row r="37" spans="1:13">
      <c r="A37" s="17" t="s">
        <v>50</v>
      </c>
      <c r="B37" s="18"/>
      <c r="C37" t="s">
        <v>51</v>
      </c>
      <c r="D37"/>
      <c r="E37"/>
      <c r="F37"/>
      <c r="G37"/>
      <c r="H37"/>
      <c r="I37"/>
      <c r="J37"/>
      <c r="K37"/>
      <c r="L37"/>
      <c r="M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  <mergeCell ref="B20:E20"/>
    <mergeCell ref="F20:I20"/>
    <mergeCell ref="J20:M20"/>
    <mergeCell ref="A28:M28"/>
    <mergeCell ref="A30:B30"/>
    <mergeCell ref="C30:M30"/>
    <mergeCell ref="A31:B31"/>
    <mergeCell ref="C31:M31"/>
    <mergeCell ref="A32:B32"/>
    <mergeCell ref="C32:M32"/>
    <mergeCell ref="A33:B33"/>
    <mergeCell ref="C33:M33"/>
    <mergeCell ref="A34:B34"/>
    <mergeCell ref="C34:M34"/>
    <mergeCell ref="A35:B35"/>
    <mergeCell ref="C35:M35"/>
    <mergeCell ref="A36:B36"/>
    <mergeCell ref="C36:M36"/>
    <mergeCell ref="A37:B37"/>
    <mergeCell ref="C37:M37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52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53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 t="s">
        <v>13</v>
      </c>
      <c r="B4" s="9" t="s">
        <v>54</v>
      </c>
      <c r="C4" s="9" t="s">
        <v>55</v>
      </c>
      <c r="D4" s="9" t="s">
        <v>56</v>
      </c>
      <c r="E4" s="1"/>
      <c r="F4" s="1"/>
    </row>
    <row r="5" spans="1:10">
      <c r="A5" s="10" t="s">
        <v>18</v>
      </c>
      <c r="B5" s="10" t="str">
        <f>SUMIFS(INDEX(course_data, 0, 16), INDEX(course_data, 0, 3), "=201610")</f>
        <v>0</v>
      </c>
      <c r="C5" s="10" t="str">
        <f>SUMIFS(INDEX(course_data, 0, 17), INDEX(course_data, 0, 3), "=201610")</f>
        <v>0</v>
      </c>
      <c r="D5" s="10" t="str">
        <f>IF(B5=0, 0, ROUND((B5/C5), 2))</f>
        <v>0</v>
      </c>
    </row>
    <row r="6" spans="1:10">
      <c r="A6" s="10" t="s">
        <v>19</v>
      </c>
      <c r="B6" s="11" t="str">
        <f>SUMIFS(INDEX(course_data, 0, 16), INDEX(course_data, 0, 3), "=201615")</f>
        <v>0</v>
      </c>
      <c r="C6" s="11" t="str">
        <f>SUMIFS(INDEX(course_data, 0, 17), INDEX(course_data, 0, 3), "=201615")</f>
        <v>0</v>
      </c>
      <c r="D6" s="11" t="str">
        <f>IF(B6=0, 0, ROUND((B6/C6), 2))</f>
        <v>0</v>
      </c>
    </row>
    <row r="7" spans="1:10">
      <c r="A7" s="10" t="s">
        <v>20</v>
      </c>
      <c r="B7" s="10" t="str">
        <f>SUMIFS(INDEX(course_data, 0, 16), INDEX(course_data, 0, 3), "=201620")</f>
        <v>0</v>
      </c>
      <c r="C7" s="10" t="str">
        <f>SUMIFS(INDEX(course_data, 0, 17), INDEX(course_data, 0, 3), "=201620")</f>
        <v>0</v>
      </c>
      <c r="D7" s="10" t="str">
        <f>IF(B7=0, 0, ROUND((B7/C7), 2))</f>
        <v>0</v>
      </c>
    </row>
    <row r="8" spans="1:10">
      <c r="A8" s="10" t="s">
        <v>21</v>
      </c>
      <c r="B8" s="11" t="str">
        <f>SUMIFS(INDEX(course_data, 0, 16), INDEX(course_data, 0, 3), "=201630")</f>
        <v>0</v>
      </c>
      <c r="C8" s="11" t="str">
        <f>SUMIFS(INDEX(course_data, 0, 17), INDEX(course_data, 0, 3), "=201630")</f>
        <v>0</v>
      </c>
      <c r="D8" s="11" t="str">
        <f>IF(B8=0, 0, ROUND((B8/C8), 2))</f>
        <v>0</v>
      </c>
    </row>
    <row r="9" spans="1:10">
      <c r="A9" s="10" t="s">
        <v>22</v>
      </c>
      <c r="B9" s="10" t="str">
        <f>SUMIFS(INDEX(course_data, 0, 16), INDEX(course_data, 0, 3), "=201710")</f>
        <v>0</v>
      </c>
      <c r="C9" s="10" t="str">
        <f>SUMIFS(INDEX(course_data, 0, 17), INDEX(course_data, 0, 3), "=201710")</f>
        <v>0</v>
      </c>
      <c r="D9" s="10" t="str">
        <f>IF(B9=0, 0, ROUND((B9/C9), 2))</f>
        <v>0</v>
      </c>
    </row>
    <row r="10" spans="1:10">
      <c r="A10" s="10" t="s">
        <v>23</v>
      </c>
      <c r="B10" s="11" t="str">
        <f>SUMIFS(INDEX(course_data, 0, 16), INDEX(course_data, 0, 3), "=201715")</f>
        <v>0</v>
      </c>
      <c r="C10" s="11" t="str">
        <f>SUMIFS(INDEX(course_data, 0, 17), INDEX(course_data, 0, 3), "=201715")</f>
        <v>0</v>
      </c>
      <c r="D10" s="11" t="str">
        <f>IF(B10=0, 0, ROUND((B10/C10), 2))</f>
        <v>0</v>
      </c>
    </row>
    <row r="11" spans="1:10">
      <c r="A11" s="10" t="s">
        <v>24</v>
      </c>
      <c r="B11" s="10" t="str">
        <f>SUMIFS(INDEX(course_data, 0, 16), INDEX(course_data, 0, 3), "=201720")</f>
        <v>0</v>
      </c>
      <c r="C11" s="10" t="str">
        <f>SUMIFS(INDEX(course_data, 0, 17), INDEX(course_data, 0, 3), "=201720")</f>
        <v>0</v>
      </c>
      <c r="D11" s="10" t="str">
        <f>IF(B11=0, 0, ROUND((B11/C11), 2))</f>
        <v>0</v>
      </c>
    </row>
    <row r="12" spans="1:10">
      <c r="A12" s="10" t="s">
        <v>25</v>
      </c>
      <c r="B12" s="11" t="str">
        <f>SUMIFS(INDEX(course_data, 0, 16), INDEX(course_data, 0, 3), "=201730")</f>
        <v>0</v>
      </c>
      <c r="C12" s="11" t="str">
        <f>SUMIFS(INDEX(course_data, 0, 17), INDEX(course_data, 0, 3), "=201730")</f>
        <v>0</v>
      </c>
      <c r="D12" s="11" t="str">
        <f>IF(B12=0, 0, ROUND((B12/C12), 2))</f>
        <v>0</v>
      </c>
    </row>
    <row r="13" spans="1:10">
      <c r="A13" s="10" t="s">
        <v>26</v>
      </c>
      <c r="B13" s="10" t="str">
        <f>SUMIFS(INDEX(course_data, 0, 16), INDEX(course_data, 0, 3), "=201810")</f>
        <v>0</v>
      </c>
      <c r="C13" s="10" t="str">
        <f>SUMIFS(INDEX(course_data, 0, 17), INDEX(course_data, 0, 3), "=201810")</f>
        <v>0</v>
      </c>
      <c r="D13" s="10" t="str">
        <f>IF(B13=0, 0, ROUND((B13/C13), 2))</f>
        <v>0</v>
      </c>
    </row>
    <row r="14" spans="1:10">
      <c r="A14" s="10" t="s">
        <v>27</v>
      </c>
      <c r="B14" s="11" t="str">
        <f>SUMIFS(INDEX(course_data, 0, 16), INDEX(course_data, 0, 3), "=201815")</f>
        <v>0</v>
      </c>
      <c r="C14" s="11" t="str">
        <f>SUMIFS(INDEX(course_data, 0, 17), INDEX(course_data, 0, 3), "=201815")</f>
        <v>0</v>
      </c>
      <c r="D14" s="11" t="str">
        <f>IF(B14=0, 0, ROUND((B14/C14), 2))</f>
        <v>0</v>
      </c>
    </row>
    <row r="15" spans="1:10">
      <c r="A15" s="10" t="s">
        <v>28</v>
      </c>
      <c r="B15" s="10" t="str">
        <f>SUMIFS(INDEX(course_data, 0, 16), INDEX(course_data, 0, 3), "=201820")</f>
        <v>0</v>
      </c>
      <c r="C15" s="10" t="str">
        <f>SUMIFS(INDEX(course_data, 0, 17), INDEX(course_data, 0, 3), "=201820")</f>
        <v>0</v>
      </c>
      <c r="D15" s="10" t="str">
        <f>IF(B15=0, 0, ROUND((B15/C15), 2))</f>
        <v>0</v>
      </c>
    </row>
    <row r="16" spans="1:10">
      <c r="A16" s="10" t="s">
        <v>29</v>
      </c>
      <c r="B16" s="11" t="str">
        <f>SUMIFS(INDEX(course_data, 0, 16), INDEX(course_data, 0, 3), "=201830")</f>
        <v>0</v>
      </c>
      <c r="C16" s="11" t="str">
        <f>SUMIFS(INDEX(course_data, 0, 17), INDEX(course_data, 0, 3), "=201830")</f>
        <v>0</v>
      </c>
      <c r="D16" s="11" t="str">
        <f>IF(B16=0, 0, ROUND((B16/C16), 2))</f>
        <v>0</v>
      </c>
    </row>
    <row r="19" spans="1:10">
      <c r="A19" s="9" t="s">
        <v>31</v>
      </c>
      <c r="B19" s="9" t="s">
        <v>54</v>
      </c>
      <c r="C19" s="9" t="s">
        <v>55</v>
      </c>
      <c r="D19" s="9" t="s">
        <v>56</v>
      </c>
      <c r="E19" s="1"/>
      <c r="F19" s="1"/>
    </row>
    <row r="20" spans="1:10">
      <c r="A20" s="10" t="s">
        <v>57</v>
      </c>
      <c r="B20" s="11" t="str">
        <f>SUMIFS(INDEX(course_data, 0, 16), INDEX(course_data, 0, 1), "=2015-2016")</f>
        <v>0</v>
      </c>
      <c r="C20" s="11" t="str">
        <f>SUMIFS(INDEX(course_data, 0, 17), INDEX(course_data, 0, 1), "=2015-2016")</f>
        <v>0</v>
      </c>
      <c r="D20" s="11" t="str">
        <f>IF(B20=0, 0, ROUND((B20/C20), 2))</f>
        <v>0</v>
      </c>
    </row>
    <row r="21" spans="1:10">
      <c r="A21" s="10" t="s">
        <v>58</v>
      </c>
      <c r="B21" s="10" t="str">
        <f>SUMIFS(INDEX(course_data, 0, 16), INDEX(course_data, 0, 1), "=2016-2017")</f>
        <v>0</v>
      </c>
      <c r="C21" s="10" t="str">
        <f>SUMIFS(INDEX(course_data, 0, 17), INDEX(course_data, 0, 1), "=2016-2017")</f>
        <v>0</v>
      </c>
      <c r="D21" s="10" t="str">
        <f>IF(B21=0, 0, ROUND((B21/C21), 2))</f>
        <v>0</v>
      </c>
    </row>
    <row r="22" spans="1:10">
      <c r="A22" s="10" t="s">
        <v>1</v>
      </c>
      <c r="B22" s="11" t="str">
        <f>SUMIFS(INDEX(course_data, 0, 16), INDEX(course_data, 0, 1), "=2017-2018")</f>
        <v>0</v>
      </c>
      <c r="C22" s="11" t="str">
        <f>SUMIFS(INDEX(course_data, 0, 17), INDEX(course_data, 0, 1), "=2017-2018")</f>
        <v>0</v>
      </c>
      <c r="D22" s="11" t="str">
        <f>IF(B22=0, 0, ROUND((B22/C22), 2))</f>
        <v>0</v>
      </c>
    </row>
    <row r="25" spans="1:10">
      <c r="A25" s="19" t="s">
        <v>59</v>
      </c>
      <c r="B25" s="20"/>
      <c r="C25" s="20"/>
      <c r="D25" s="20"/>
      <c r="E25" s="20"/>
      <c r="F25" s="20"/>
      <c r="G25" s="20"/>
      <c r="H25" s="20"/>
      <c r="I25" s="20"/>
      <c r="J25" s="20"/>
    </row>
    <row r="26" spans="1:10">
      <c r="A26" s="19" t="s">
        <v>60</v>
      </c>
      <c r="B26" s="20"/>
      <c r="C26" s="20"/>
      <c r="D26" s="20"/>
      <c r="E26" s="20"/>
      <c r="F26" s="20"/>
      <c r="G26" s="20"/>
      <c r="H26" s="20"/>
      <c r="I26" s="20"/>
      <c r="J26" s="20"/>
    </row>
    <row r="29" spans="1:10">
      <c r="A29" s="6" t="s">
        <v>35</v>
      </c>
      <c r="B29" s="8"/>
      <c r="C29" s="8"/>
      <c r="D29" s="8"/>
      <c r="E29" s="8"/>
      <c r="F29" s="8"/>
      <c r="G29" s="8"/>
      <c r="H29" s="8"/>
      <c r="I29" s="8"/>
      <c r="J29" s="8"/>
    </row>
    <row r="31" spans="1:10">
      <c r="A31" s="17" t="s">
        <v>36</v>
      </c>
      <c r="B31" s="18"/>
      <c r="C31" s="21" t="s">
        <v>37</v>
      </c>
      <c r="D31"/>
      <c r="E31"/>
      <c r="F31"/>
      <c r="G31"/>
      <c r="H31"/>
      <c r="I31"/>
      <c r="J31"/>
    </row>
    <row r="32" spans="1:10" customHeight="1" ht="40">
      <c r="A32" s="22" t="s">
        <v>61</v>
      </c>
      <c r="B32" s="18"/>
      <c r="C32" s="23" t="s">
        <v>62</v>
      </c>
      <c r="D32"/>
      <c r="E32"/>
      <c r="F32"/>
      <c r="G32"/>
      <c r="H32"/>
      <c r="I32"/>
      <c r="J32"/>
    </row>
    <row r="33" spans="1:10" customHeight="1" ht="30">
      <c r="A33" s="22" t="s">
        <v>63</v>
      </c>
      <c r="B33" s="18"/>
      <c r="C33" s="23" t="s">
        <v>64</v>
      </c>
      <c r="D33"/>
      <c r="E33"/>
      <c r="F33"/>
      <c r="G33"/>
      <c r="H33"/>
      <c r="I33"/>
      <c r="J33"/>
    </row>
    <row r="34" spans="1:10" customHeight="1" ht="30">
      <c r="A34" s="24" t="s">
        <v>65</v>
      </c>
      <c r="B34" s="18"/>
      <c r="C34" s="23" t="s">
        <v>66</v>
      </c>
      <c r="D34"/>
      <c r="E34"/>
      <c r="F34"/>
      <c r="G34"/>
      <c r="H34"/>
      <c r="I34"/>
      <c r="J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25:J25"/>
    <mergeCell ref="A26:J26"/>
    <mergeCell ref="A29:J29"/>
    <mergeCell ref="A31:B31"/>
    <mergeCell ref="C31:J31"/>
    <mergeCell ref="A32:B32"/>
    <mergeCell ref="C32:J32"/>
    <mergeCell ref="A33:B33"/>
    <mergeCell ref="C33:J33"/>
    <mergeCell ref="A34:B34"/>
    <mergeCell ref="C34:J3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0" workbookViewId="0" showGridLines="true" showRowColHeaders="1">
      <selection activeCell="A36" sqref="A36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67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68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A5" s="9" t="s">
        <v>13</v>
      </c>
      <c r="B5" s="9" t="s">
        <v>69</v>
      </c>
      <c r="C5" s="9" t="s">
        <v>70</v>
      </c>
      <c r="D5" s="9" t="s">
        <v>71</v>
      </c>
      <c r="E5" s="9" t="s">
        <v>69</v>
      </c>
      <c r="F5" s="9" t="s">
        <v>70</v>
      </c>
      <c r="G5" s="9" t="s">
        <v>71</v>
      </c>
      <c r="H5" s="9" t="s">
        <v>69</v>
      </c>
      <c r="I5" s="9" t="s">
        <v>70</v>
      </c>
      <c r="J5" s="9" t="s">
        <v>71</v>
      </c>
    </row>
    <row r="6" spans="1:10">
      <c r="A6" s="10" t="s">
        <v>18</v>
      </c>
      <c r="B6" s="11" t="str">
        <f>SUMIFS(INDEX(course_data, 0, 10), INDEX(course_data, 0, 3), "=201610", INDEX(course_data, 0, 6), "=day")</f>
        <v>0</v>
      </c>
      <c r="C6" s="12" t="str">
        <f>IF(B6=0, 0, ((SUMIFS(INDEX(course_data, 0, 11), INDEX(course_data, 0, 3), "=201610", INDEX(course_data, 0, 6), "=day"))/B6))</f>
        <v>0</v>
      </c>
      <c r="D6" s="12" t="str">
        <f>IF(B6=0, 0, ((SUMIFS(INDEX(course_data, 0, 13), INDEX(course_data, 0, 3), "=201610", INDEX(course_data, 0, 6), "=day"))/B6))</f>
        <v>0</v>
      </c>
      <c r="E6" s="11" t="str">
        <f>SUMIFS(INDEX(course_data, 0, 10), INDEX(course_data, 0, 3), "=201610", INDEX(course_data, 0, 6), "=ex_day")</f>
        <v>0</v>
      </c>
      <c r="F6" s="12" t="str">
        <f>IF(E6=0, 0, ((SUMIFS(INDEX(course_data, 0, 11), INDEX(course_data, 0, 3), "=201610", INDEX(course_data, 0, 6), "=ex_day"))/E6))</f>
        <v>0</v>
      </c>
      <c r="G6" s="12" t="str">
        <f>IF(E6=0, 0, ((SUMIFS(INDEX(course_data, 0, 13), INDEX(course_data, 0, 3), "=201610", INDEX(course_data, 0, 6), "=ex_day"))/E6))</f>
        <v>0</v>
      </c>
      <c r="H6" s="11" t="str">
        <f>SUMIFS(INDEX(course_data, 0, 10), INDEX(course_data, 0, 3), "=201610", INDEX(course_data, 0, 6), "=online")</f>
        <v>0</v>
      </c>
      <c r="I6" s="12" t="str">
        <f>IF(H6=0, 0, ((SUMIFS(INDEX(course_data, 0, 11), INDEX(course_data, 0, 3), "=201610", INDEX(course_data, 0, 6), "=online"))/H6))</f>
        <v>0</v>
      </c>
      <c r="J6" s="12" t="str">
        <f>IF(H6=0, 0, ((SUMIFS(INDEX(course_data, 0, 13), INDEX(course_data, 0, 3), "=201610", INDEX(course_data, 0, 6), "=online"))/H6))</f>
        <v>0</v>
      </c>
    </row>
    <row r="7" spans="1:10">
      <c r="A7" s="10" t="s">
        <v>19</v>
      </c>
      <c r="B7" s="10" t="str">
        <f>SUMIFS(INDEX(course_data, 0, 10), INDEX(course_data, 0, 3), "=201615", INDEX(course_data, 0, 6), "=day")</f>
        <v>0</v>
      </c>
      <c r="C7" s="13" t="str">
        <f>IF(B7=0, 0, ((SUMIFS(INDEX(course_data, 0, 11), INDEX(course_data, 0, 3), "=201615", INDEX(course_data, 0, 6), "=day"))/B7))</f>
        <v>0</v>
      </c>
      <c r="D7" s="13" t="str">
        <f>IF(B7=0, 0, ((SUMIFS(INDEX(course_data, 0, 13), INDEX(course_data, 0, 3), "=201615", INDEX(course_data, 0, 6), "=day"))/B7))</f>
        <v>0</v>
      </c>
      <c r="E7" s="10" t="str">
        <f>SUMIFS(INDEX(course_data, 0, 10), INDEX(course_data, 0, 3), "=201615", INDEX(course_data, 0, 6), "=ex_day")</f>
        <v>0</v>
      </c>
      <c r="F7" s="13" t="str">
        <f>IF(E7=0, 0, ((SUMIFS(INDEX(course_data, 0, 11), INDEX(course_data, 0, 3), "=201615", INDEX(course_data, 0, 6), "=ex_day"))/E7))</f>
        <v>0</v>
      </c>
      <c r="G7" s="13" t="str">
        <f>IF(E7=0, 0, ((SUMIFS(INDEX(course_data, 0, 13), INDEX(course_data, 0, 3), "=201615", INDEX(course_data, 0, 6), "=ex_day"))/E7))</f>
        <v>0</v>
      </c>
      <c r="H7" s="10" t="str">
        <f>SUMIFS(INDEX(course_data, 0, 10), INDEX(course_data, 0, 3), "=201615", INDEX(course_data, 0, 6), "=online")</f>
        <v>0</v>
      </c>
      <c r="I7" s="13" t="str">
        <f>IF(H7=0, 0, ((SUMIFS(INDEX(course_data, 0, 11), INDEX(course_data, 0, 3), "=201615", INDEX(course_data, 0, 6), "=online"))/H7))</f>
        <v>0</v>
      </c>
      <c r="J7" s="13" t="str">
        <f>IF(H7=0, 0, ((SUMIFS(INDEX(course_data, 0, 13), INDEX(course_data, 0, 3), "=201615", INDEX(course_data, 0, 6), "=online"))/H7))</f>
        <v>0</v>
      </c>
    </row>
    <row r="8" spans="1:10">
      <c r="A8" s="10" t="s">
        <v>20</v>
      </c>
      <c r="B8" s="11" t="str">
        <f>SUMIFS(INDEX(course_data, 0, 10), INDEX(course_data, 0, 3), "=201620", INDEX(course_data, 0, 6), "=day")</f>
        <v>0</v>
      </c>
      <c r="C8" s="12" t="str">
        <f>IF(B8=0, 0, ((SUMIFS(INDEX(course_data, 0, 11), INDEX(course_data, 0, 3), "=201620", INDEX(course_data, 0, 6), "=day"))/B8))</f>
        <v>0</v>
      </c>
      <c r="D8" s="12" t="str">
        <f>IF(B8=0, 0, ((SUMIFS(INDEX(course_data, 0, 13), INDEX(course_data, 0, 3), "=201620", INDEX(course_data, 0, 6), "=day"))/B8))</f>
        <v>0</v>
      </c>
      <c r="E8" s="11" t="str">
        <f>SUMIFS(INDEX(course_data, 0, 10), INDEX(course_data, 0, 3), "=201620", INDEX(course_data, 0, 6), "=ex_day")</f>
        <v>0</v>
      </c>
      <c r="F8" s="12" t="str">
        <f>IF(E8=0, 0, ((SUMIFS(INDEX(course_data, 0, 11), INDEX(course_data, 0, 3), "=201620", INDEX(course_data, 0, 6), "=ex_day"))/E8))</f>
        <v>0</v>
      </c>
      <c r="G8" s="12" t="str">
        <f>IF(E8=0, 0, ((SUMIFS(INDEX(course_data, 0, 13), INDEX(course_data, 0, 3), "=201620", INDEX(course_data, 0, 6), "=ex_day"))/E8))</f>
        <v>0</v>
      </c>
      <c r="H8" s="11" t="str">
        <f>SUMIFS(INDEX(course_data, 0, 10), INDEX(course_data, 0, 3), "=201620", INDEX(course_data, 0, 6), "=online")</f>
        <v>0</v>
      </c>
      <c r="I8" s="12" t="str">
        <f>IF(H8=0, 0, ((SUMIFS(INDEX(course_data, 0, 11), INDEX(course_data, 0, 3), "=201620", INDEX(course_data, 0, 6), "=online"))/H8))</f>
        <v>0</v>
      </c>
      <c r="J8" s="12" t="str">
        <f>IF(H8=0, 0, ((SUMIFS(INDEX(course_data, 0, 13), INDEX(course_data, 0, 3), "=201620", INDEX(course_data, 0, 6), "=online"))/H8))</f>
        <v>0</v>
      </c>
    </row>
    <row r="9" spans="1:10">
      <c r="A9" s="10" t="s">
        <v>21</v>
      </c>
      <c r="B9" s="10" t="str">
        <f>SUMIFS(INDEX(course_data, 0, 10), INDEX(course_data, 0, 3), "=201630", INDEX(course_data, 0, 6), "=day")</f>
        <v>0</v>
      </c>
      <c r="C9" s="13" t="str">
        <f>IF(B9=0, 0, ((SUMIFS(INDEX(course_data, 0, 11), INDEX(course_data, 0, 3), "=201630", INDEX(course_data, 0, 6), "=day"))/B9))</f>
        <v>0</v>
      </c>
      <c r="D9" s="13" t="str">
        <f>IF(B9=0, 0, ((SUMIFS(INDEX(course_data, 0, 13), INDEX(course_data, 0, 3), "=201630", INDEX(course_data, 0, 6), "=day"))/B9))</f>
        <v>0</v>
      </c>
      <c r="E9" s="10" t="str">
        <f>SUMIFS(INDEX(course_data, 0, 10), INDEX(course_data, 0, 3), "=201630", INDEX(course_data, 0, 6), "=ex_day")</f>
        <v>0</v>
      </c>
      <c r="F9" s="13" t="str">
        <f>IF(E9=0, 0, ((SUMIFS(INDEX(course_data, 0, 11), INDEX(course_data, 0, 3), "=201630", INDEX(course_data, 0, 6), "=ex_day"))/E9))</f>
        <v>0</v>
      </c>
      <c r="G9" s="13" t="str">
        <f>IF(E9=0, 0, ((SUMIFS(INDEX(course_data, 0, 13), INDEX(course_data, 0, 3), "=201630", INDEX(course_data, 0, 6), "=ex_day"))/E9))</f>
        <v>0</v>
      </c>
      <c r="H9" s="10" t="str">
        <f>SUMIFS(INDEX(course_data, 0, 10), INDEX(course_data, 0, 3), "=201630", INDEX(course_data, 0, 6), "=online")</f>
        <v>0</v>
      </c>
      <c r="I9" s="13" t="str">
        <f>IF(H9=0, 0, ((SUMIFS(INDEX(course_data, 0, 11), INDEX(course_data, 0, 3), "=201630", INDEX(course_data, 0, 6), "=online"))/H9))</f>
        <v>0</v>
      </c>
      <c r="J9" s="13" t="str">
        <f>IF(H9=0, 0, ((SUMIFS(INDEX(course_data, 0, 13), INDEX(course_data, 0, 3), "=201630", INDEX(course_data, 0, 6), "=online"))/H9))</f>
        <v>0</v>
      </c>
    </row>
    <row r="10" spans="1:10">
      <c r="A10" s="10" t="s">
        <v>22</v>
      </c>
      <c r="B10" s="11" t="str">
        <f>SUMIFS(INDEX(course_data, 0, 10), INDEX(course_data, 0, 3), "=201710", INDEX(course_data, 0, 6), "=day")</f>
        <v>0</v>
      </c>
      <c r="C10" s="12" t="str">
        <f>IF(B10=0, 0, ((SUMIFS(INDEX(course_data, 0, 11), INDEX(course_data, 0, 3), "=201710", INDEX(course_data, 0, 6), "=day"))/B10))</f>
        <v>0</v>
      </c>
      <c r="D10" s="12" t="str">
        <f>IF(B10=0, 0, ((SUMIFS(INDEX(course_data, 0, 13), INDEX(course_data, 0, 3), "=201710", INDEX(course_data, 0, 6), "=day"))/B10))</f>
        <v>0</v>
      </c>
      <c r="E10" s="11" t="str">
        <f>SUMIFS(INDEX(course_data, 0, 10), INDEX(course_data, 0, 3), "=201710", INDEX(course_data, 0, 6), "=ex_day")</f>
        <v>0</v>
      </c>
      <c r="F10" s="12" t="str">
        <f>IF(E10=0, 0, ((SUMIFS(INDEX(course_data, 0, 11), INDEX(course_data, 0, 3), "=201710", INDEX(course_data, 0, 6), "=ex_day"))/E10))</f>
        <v>0</v>
      </c>
      <c r="G10" s="12" t="str">
        <f>IF(E10=0, 0, ((SUMIFS(INDEX(course_data, 0, 13), INDEX(course_data, 0, 3), "=201710", INDEX(course_data, 0, 6), "=ex_day"))/E10))</f>
        <v>0</v>
      </c>
      <c r="H10" s="11" t="str">
        <f>SUMIFS(INDEX(course_data, 0, 10), INDEX(course_data, 0, 3), "=201710", INDEX(course_data, 0, 6), "=online")</f>
        <v>0</v>
      </c>
      <c r="I10" s="12" t="str">
        <f>IF(H10=0, 0, ((SUMIFS(INDEX(course_data, 0, 11), INDEX(course_data, 0, 3), "=201710", INDEX(course_data, 0, 6), "=online"))/H10))</f>
        <v>0</v>
      </c>
      <c r="J10" s="12" t="str">
        <f>IF(H10=0, 0, ((SUMIFS(INDEX(course_data, 0, 13), INDEX(course_data, 0, 3), "=201710", INDEX(course_data, 0, 6), "=online"))/H10))</f>
        <v>0</v>
      </c>
    </row>
    <row r="11" spans="1:10">
      <c r="A11" s="10" t="s">
        <v>23</v>
      </c>
      <c r="B11" s="10" t="str">
        <f>SUMIFS(INDEX(course_data, 0, 10), INDEX(course_data, 0, 3), "=201715", INDEX(course_data, 0, 6), "=day")</f>
        <v>0</v>
      </c>
      <c r="C11" s="13" t="str">
        <f>IF(B11=0, 0, ((SUMIFS(INDEX(course_data, 0, 11), INDEX(course_data, 0, 3), "=201715", INDEX(course_data, 0, 6), "=day"))/B11))</f>
        <v>0</v>
      </c>
      <c r="D11" s="13" t="str">
        <f>IF(B11=0, 0, ((SUMIFS(INDEX(course_data, 0, 13), INDEX(course_data, 0, 3), "=201715", INDEX(course_data, 0, 6), "=day"))/B11))</f>
        <v>0</v>
      </c>
      <c r="E11" s="10" t="str">
        <f>SUMIFS(INDEX(course_data, 0, 10), INDEX(course_data, 0, 3), "=201715", INDEX(course_data, 0, 6), "=ex_day")</f>
        <v>0</v>
      </c>
      <c r="F11" s="13" t="str">
        <f>IF(E11=0, 0, ((SUMIFS(INDEX(course_data, 0, 11), INDEX(course_data, 0, 3), "=201715", INDEX(course_data, 0, 6), "=ex_day"))/E11))</f>
        <v>0</v>
      </c>
      <c r="G11" s="13" t="str">
        <f>IF(E11=0, 0, ((SUMIFS(INDEX(course_data, 0, 13), INDEX(course_data, 0, 3), "=201715", INDEX(course_data, 0, 6), "=ex_day"))/E11))</f>
        <v>0</v>
      </c>
      <c r="H11" s="10" t="str">
        <f>SUMIFS(INDEX(course_data, 0, 10), INDEX(course_data, 0, 3), "=201715", INDEX(course_data, 0, 6), "=online")</f>
        <v>0</v>
      </c>
      <c r="I11" s="13" t="str">
        <f>IF(H11=0, 0, ((SUMIFS(INDEX(course_data, 0, 11), INDEX(course_data, 0, 3), "=201715", INDEX(course_data, 0, 6), "=online"))/H11))</f>
        <v>0</v>
      </c>
      <c r="J11" s="13" t="str">
        <f>IF(H11=0, 0, ((SUMIFS(INDEX(course_data, 0, 13), INDEX(course_data, 0, 3), "=201715", INDEX(course_data, 0, 6), "=online"))/H11))</f>
        <v>0</v>
      </c>
    </row>
    <row r="12" spans="1:10">
      <c r="A12" s="10" t="s">
        <v>24</v>
      </c>
      <c r="B12" s="11" t="str">
        <f>SUMIFS(INDEX(course_data, 0, 10), INDEX(course_data, 0, 3), "=201720", INDEX(course_data, 0, 6), "=day")</f>
        <v>0</v>
      </c>
      <c r="C12" s="12" t="str">
        <f>IF(B12=0, 0, ((SUMIFS(INDEX(course_data, 0, 11), INDEX(course_data, 0, 3), "=201720", INDEX(course_data, 0, 6), "=day"))/B12))</f>
        <v>0</v>
      </c>
      <c r="D12" s="12" t="str">
        <f>IF(B12=0, 0, ((SUMIFS(INDEX(course_data, 0, 13), INDEX(course_data, 0, 3), "=201720", INDEX(course_data, 0, 6), "=day"))/B12))</f>
        <v>0</v>
      </c>
      <c r="E12" s="11" t="str">
        <f>SUMIFS(INDEX(course_data, 0, 10), INDEX(course_data, 0, 3), "=201720", INDEX(course_data, 0, 6), "=ex_day")</f>
        <v>0</v>
      </c>
      <c r="F12" s="12" t="str">
        <f>IF(E12=0, 0, ((SUMIFS(INDEX(course_data, 0, 11), INDEX(course_data, 0, 3), "=201720", INDEX(course_data, 0, 6), "=ex_day"))/E12))</f>
        <v>0</v>
      </c>
      <c r="G12" s="12" t="str">
        <f>IF(E12=0, 0, ((SUMIFS(INDEX(course_data, 0, 13), INDEX(course_data, 0, 3), "=201720", INDEX(course_data, 0, 6), "=ex_day"))/E12))</f>
        <v>0</v>
      </c>
      <c r="H12" s="11" t="str">
        <f>SUMIFS(INDEX(course_data, 0, 10), INDEX(course_data, 0, 3), "=201720", INDEX(course_data, 0, 6), "=online")</f>
        <v>0</v>
      </c>
      <c r="I12" s="12" t="str">
        <f>IF(H12=0, 0, ((SUMIFS(INDEX(course_data, 0, 11), INDEX(course_data, 0, 3), "=201720", INDEX(course_data, 0, 6), "=online"))/H12))</f>
        <v>0</v>
      </c>
      <c r="J12" s="12" t="str">
        <f>IF(H12=0, 0, ((SUMIFS(INDEX(course_data, 0, 13), INDEX(course_data, 0, 3), "=201720", INDEX(course_data, 0, 6), "=online"))/H12))</f>
        <v>0</v>
      </c>
    </row>
    <row r="13" spans="1:10">
      <c r="A13" s="10" t="s">
        <v>25</v>
      </c>
      <c r="B13" s="10" t="str">
        <f>SUMIFS(INDEX(course_data, 0, 10), INDEX(course_data, 0, 3), "=201730", INDEX(course_data, 0, 6), "=day")</f>
        <v>0</v>
      </c>
      <c r="C13" s="13" t="str">
        <f>IF(B13=0, 0, ((SUMIFS(INDEX(course_data, 0, 11), INDEX(course_data, 0, 3), "=201730", INDEX(course_data, 0, 6), "=day"))/B13))</f>
        <v>0</v>
      </c>
      <c r="D13" s="13" t="str">
        <f>IF(B13=0, 0, ((SUMIFS(INDEX(course_data, 0, 13), INDEX(course_data, 0, 3), "=201730", INDEX(course_data, 0, 6), "=day"))/B13))</f>
        <v>0</v>
      </c>
      <c r="E13" s="10" t="str">
        <f>SUMIFS(INDEX(course_data, 0, 10), INDEX(course_data, 0, 3), "=201730", INDEX(course_data, 0, 6), "=ex_day")</f>
        <v>0</v>
      </c>
      <c r="F13" s="13" t="str">
        <f>IF(E13=0, 0, ((SUMIFS(INDEX(course_data, 0, 11), INDEX(course_data, 0, 3), "=201730", INDEX(course_data, 0, 6), "=ex_day"))/E13))</f>
        <v>0</v>
      </c>
      <c r="G13" s="13" t="str">
        <f>IF(E13=0, 0, ((SUMIFS(INDEX(course_data, 0, 13), INDEX(course_data, 0, 3), "=201730", INDEX(course_data, 0, 6), "=ex_day"))/E13))</f>
        <v>0</v>
      </c>
      <c r="H13" s="10" t="str">
        <f>SUMIFS(INDEX(course_data, 0, 10), INDEX(course_data, 0, 3), "=201730", INDEX(course_data, 0, 6), "=online")</f>
        <v>0</v>
      </c>
      <c r="I13" s="13" t="str">
        <f>IF(H13=0, 0, ((SUMIFS(INDEX(course_data, 0, 11), INDEX(course_data, 0, 3), "=201730", INDEX(course_data, 0, 6), "=online"))/H13))</f>
        <v>0</v>
      </c>
      <c r="J13" s="13" t="str">
        <f>IF(H13=0, 0, ((SUMIFS(INDEX(course_data, 0, 13), INDEX(course_data, 0, 3), "=201730", INDEX(course_data, 0, 6), "=online"))/H13))</f>
        <v>0</v>
      </c>
    </row>
    <row r="14" spans="1:10">
      <c r="A14" s="10" t="s">
        <v>26</v>
      </c>
      <c r="B14" s="11" t="str">
        <f>SUMIFS(INDEX(course_data, 0, 10), INDEX(course_data, 0, 3), "=201810", INDEX(course_data, 0, 6), "=day")</f>
        <v>0</v>
      </c>
      <c r="C14" s="12" t="str">
        <f>IF(B14=0, 0, ((SUMIFS(INDEX(course_data, 0, 11), INDEX(course_data, 0, 3), "=201810", INDEX(course_data, 0, 6), "=day"))/B14))</f>
        <v>0</v>
      </c>
      <c r="D14" s="12" t="str">
        <f>IF(B14=0, 0, ((SUMIFS(INDEX(course_data, 0, 13), INDEX(course_data, 0, 3), "=201810", INDEX(course_data, 0, 6), "=day"))/B14))</f>
        <v>0</v>
      </c>
      <c r="E14" s="11" t="str">
        <f>SUMIFS(INDEX(course_data, 0, 10), INDEX(course_data, 0, 3), "=201810", INDEX(course_data, 0, 6), "=ex_day")</f>
        <v>0</v>
      </c>
      <c r="F14" s="12" t="str">
        <f>IF(E14=0, 0, ((SUMIFS(INDEX(course_data, 0, 11), INDEX(course_data, 0, 3), "=201810", INDEX(course_data, 0, 6), "=ex_day"))/E14))</f>
        <v>0</v>
      </c>
      <c r="G14" s="12" t="str">
        <f>IF(E14=0, 0, ((SUMIFS(INDEX(course_data, 0, 13), INDEX(course_data, 0, 3), "=201810", INDEX(course_data, 0, 6), "=ex_day"))/E14))</f>
        <v>0</v>
      </c>
      <c r="H14" s="11" t="str">
        <f>SUMIFS(INDEX(course_data, 0, 10), INDEX(course_data, 0, 3), "=201810", INDEX(course_data, 0, 6), "=online")</f>
        <v>0</v>
      </c>
      <c r="I14" s="12" t="str">
        <f>IF(H14=0, 0, ((SUMIFS(INDEX(course_data, 0, 11), INDEX(course_data, 0, 3), "=201810", INDEX(course_data, 0, 6), "=online"))/H14))</f>
        <v>0</v>
      </c>
      <c r="J14" s="12" t="str">
        <f>IF(H14=0, 0, ((SUMIFS(INDEX(course_data, 0, 13), INDEX(course_data, 0, 3), "=201810", INDEX(course_data, 0, 6), "=online"))/H14))</f>
        <v>0</v>
      </c>
    </row>
    <row r="15" spans="1:10">
      <c r="A15" s="10" t="s">
        <v>27</v>
      </c>
      <c r="B15" s="10" t="str">
        <f>SUMIFS(INDEX(course_data, 0, 10), INDEX(course_data, 0, 3), "=201815", INDEX(course_data, 0, 6), "=day")</f>
        <v>0</v>
      </c>
      <c r="C15" s="13" t="str">
        <f>IF(B15=0, 0, ((SUMIFS(INDEX(course_data, 0, 11), INDEX(course_data, 0, 3), "=201815", INDEX(course_data, 0, 6), "=day"))/B15))</f>
        <v>0</v>
      </c>
      <c r="D15" s="13" t="str">
        <f>IF(B15=0, 0, ((SUMIFS(INDEX(course_data, 0, 13), INDEX(course_data, 0, 3), "=201815", INDEX(course_data, 0, 6), "=day"))/B15))</f>
        <v>0</v>
      </c>
      <c r="E15" s="10" t="str">
        <f>SUMIFS(INDEX(course_data, 0, 10), INDEX(course_data, 0, 3), "=201815", INDEX(course_data, 0, 6), "=ex_day")</f>
        <v>0</v>
      </c>
      <c r="F15" s="13" t="str">
        <f>IF(E15=0, 0, ((SUMIFS(INDEX(course_data, 0, 11), INDEX(course_data, 0, 3), "=201815", INDEX(course_data, 0, 6), "=ex_day"))/E15))</f>
        <v>0</v>
      </c>
      <c r="G15" s="13" t="str">
        <f>IF(E15=0, 0, ((SUMIFS(INDEX(course_data, 0, 13), INDEX(course_data, 0, 3), "=201815", INDEX(course_data, 0, 6), "=ex_day"))/E15))</f>
        <v>0</v>
      </c>
      <c r="H15" s="10" t="str">
        <f>SUMIFS(INDEX(course_data, 0, 10), INDEX(course_data, 0, 3), "=201815", INDEX(course_data, 0, 6), "=online")</f>
        <v>0</v>
      </c>
      <c r="I15" s="13" t="str">
        <f>IF(H15=0, 0, ((SUMIFS(INDEX(course_data, 0, 11), INDEX(course_data, 0, 3), "=201815", INDEX(course_data, 0, 6), "=online"))/H15))</f>
        <v>0</v>
      </c>
      <c r="J15" s="13" t="str">
        <f>IF(H15=0, 0, ((SUMIFS(INDEX(course_data, 0, 13), INDEX(course_data, 0, 3), "=201815", INDEX(course_data, 0, 6), "=online"))/H15))</f>
        <v>0</v>
      </c>
    </row>
    <row r="16" spans="1:10">
      <c r="A16" s="10" t="s">
        <v>28</v>
      </c>
      <c r="B16" s="11" t="str">
        <f>SUMIFS(INDEX(course_data, 0, 10), INDEX(course_data, 0, 3), "=201820", INDEX(course_data, 0, 6), "=day")</f>
        <v>0</v>
      </c>
      <c r="C16" s="12" t="str">
        <f>IF(B16=0, 0, ((SUMIFS(INDEX(course_data, 0, 11), INDEX(course_data, 0, 3), "=201820", INDEX(course_data, 0, 6), "=day"))/B16))</f>
        <v>0</v>
      </c>
      <c r="D16" s="12" t="str">
        <f>IF(B16=0, 0, ((SUMIFS(INDEX(course_data, 0, 13), INDEX(course_data, 0, 3), "=201820", INDEX(course_data, 0, 6), "=day"))/B16))</f>
        <v>0</v>
      </c>
      <c r="E16" s="11" t="str">
        <f>SUMIFS(INDEX(course_data, 0, 10), INDEX(course_data, 0, 3), "=201820", INDEX(course_data, 0, 6), "=ex_day")</f>
        <v>0</v>
      </c>
      <c r="F16" s="12" t="str">
        <f>IF(E16=0, 0, ((SUMIFS(INDEX(course_data, 0, 11), INDEX(course_data, 0, 3), "=201820", INDEX(course_data, 0, 6), "=ex_day"))/E16))</f>
        <v>0</v>
      </c>
      <c r="G16" s="12" t="str">
        <f>IF(E16=0, 0, ((SUMIFS(INDEX(course_data, 0, 13), INDEX(course_data, 0, 3), "=201820", INDEX(course_data, 0, 6), "=ex_day"))/E16))</f>
        <v>0</v>
      </c>
      <c r="H16" s="11" t="str">
        <f>SUMIFS(INDEX(course_data, 0, 10), INDEX(course_data, 0, 3), "=201820", INDEX(course_data, 0, 6), "=online")</f>
        <v>0</v>
      </c>
      <c r="I16" s="12" t="str">
        <f>IF(H16=0, 0, ((SUMIFS(INDEX(course_data, 0, 11), INDEX(course_data, 0, 3), "=201820", INDEX(course_data, 0, 6), "=online"))/H16))</f>
        <v>0</v>
      </c>
      <c r="J16" s="12" t="str">
        <f>IF(H16=0, 0, ((SUMIFS(INDEX(course_data, 0, 13), INDEX(course_data, 0, 3), "=201820", INDEX(course_data, 0, 6), "=online"))/H16))</f>
        <v>0</v>
      </c>
    </row>
    <row r="17" spans="1:10">
      <c r="A17" s="10" t="s">
        <v>29</v>
      </c>
      <c r="B17" s="10" t="str">
        <f>SUMIFS(INDEX(course_data, 0, 10), INDEX(course_data, 0, 3), "=201830", INDEX(course_data, 0, 6), "=day")</f>
        <v>0</v>
      </c>
      <c r="C17" s="13" t="str">
        <f>IF(B17=0, 0, ((SUMIFS(INDEX(course_data, 0, 11), INDEX(course_data, 0, 3), "=201830", INDEX(course_data, 0, 6), "=day"))/B17))</f>
        <v>0</v>
      </c>
      <c r="D17" s="13" t="str">
        <f>IF(B17=0, 0, ((SUMIFS(INDEX(course_data, 0, 13), INDEX(course_data, 0, 3), "=201830", INDEX(course_data, 0, 6), "=day"))/B17))</f>
        <v>0</v>
      </c>
      <c r="E17" s="10" t="str">
        <f>SUMIFS(INDEX(course_data, 0, 10), INDEX(course_data, 0, 3), "=201830", INDEX(course_data, 0, 6), "=ex_day")</f>
        <v>0</v>
      </c>
      <c r="F17" s="13" t="str">
        <f>IF(E17=0, 0, ((SUMIFS(INDEX(course_data, 0, 11), INDEX(course_data, 0, 3), "=201830", INDEX(course_data, 0, 6), "=ex_day"))/E17))</f>
        <v>0</v>
      </c>
      <c r="G17" s="13" t="str">
        <f>IF(E17=0, 0, ((SUMIFS(INDEX(course_data, 0, 13), INDEX(course_data, 0, 3), "=201830", INDEX(course_data, 0, 6), "=ex_day"))/E17))</f>
        <v>0</v>
      </c>
      <c r="H17" s="10" t="str">
        <f>SUMIFS(INDEX(course_data, 0, 10), INDEX(course_data, 0, 3), "=201830", INDEX(course_data, 0, 6), "=online")</f>
        <v>0</v>
      </c>
      <c r="I17" s="13" t="str">
        <f>IF(H17=0, 0, ((SUMIFS(INDEX(course_data, 0, 11), INDEX(course_data, 0, 3), "=201830", INDEX(course_data, 0, 6), "=online"))/H17))</f>
        <v>0</v>
      </c>
      <c r="J17" s="13" t="str">
        <f>IF(H17=0, 0, ((SUMIFS(INDEX(course_data, 0, 13), INDEX(course_data, 0, 3), "=201830", INDEX(course_data, 0, 6), "=online"))/H17))</f>
        <v>0</v>
      </c>
    </row>
    <row r="18" spans="1:10">
      <c r="A18" s="14" t="s">
        <v>30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</row>
    <row r="20" spans="1:10">
      <c r="B20" s="9" t="s">
        <v>10</v>
      </c>
      <c r="C20" s="9"/>
      <c r="D20" s="9"/>
      <c r="E20" s="9" t="s">
        <v>11</v>
      </c>
      <c r="F20" s="9"/>
      <c r="G20" s="9"/>
      <c r="H20" s="9" t="s">
        <v>12</v>
      </c>
      <c r="I20" s="9"/>
      <c r="J20" s="9"/>
    </row>
    <row r="21" spans="1:10">
      <c r="A21" s="9" t="s">
        <v>31</v>
      </c>
      <c r="B21" s="9" t="s">
        <v>69</v>
      </c>
      <c r="C21" s="9" t="s">
        <v>70</v>
      </c>
      <c r="D21" s="9" t="s">
        <v>71</v>
      </c>
      <c r="E21" s="9" t="s">
        <v>69</v>
      </c>
      <c r="F21" s="9" t="s">
        <v>70</v>
      </c>
      <c r="G21" s="9" t="s">
        <v>71</v>
      </c>
      <c r="H21" s="9" t="s">
        <v>69</v>
      </c>
      <c r="I21" s="9" t="s">
        <v>70</v>
      </c>
      <c r="J21" s="9" t="s">
        <v>71</v>
      </c>
    </row>
    <row r="22" spans="1:10">
      <c r="A22" s="10" t="s">
        <v>57</v>
      </c>
      <c r="B22" s="11" t="str">
        <f>SUMIFS(INDEX(course_data, 0, 10), INDEX(course_data, 0, 1), "=2015-2016", INDEX(course_data, 0, 6), "=day")</f>
        <v>0</v>
      </c>
      <c r="C22" s="12" t="str">
        <f>IF(B22=0, 0, ((SUMIFS(INDEX(course_data, 0, 11), INDEX(course_data, 0, 1), "=2015-2016", INDEX(course_data, 0, 6), "=day"))/B22))</f>
        <v>0</v>
      </c>
      <c r="D22" s="12" t="str">
        <f>IF(B22=0, 0, ((SUMIFS(INDEX(course_data, 0, 13), INDEX(course_data, 0, 1), "=2015-2016", INDEX(course_data, 0, 6), "=day"))/B22))</f>
        <v>0</v>
      </c>
      <c r="E22" s="11" t="str">
        <f>SUMIFS(INDEX(course_data, 0, 10), INDEX(course_data, 0, 1), "=2015-2016", INDEX(course_data, 0, 6), "=ex_day")</f>
        <v>0</v>
      </c>
      <c r="F22" s="12" t="str">
        <f>IF(E22=0, 0, ((SUMIFS(INDEX(course_data, 0, 11), INDEX(course_data, 0, 1), "=2015-2016", INDEX(course_data, 0, 6), "=ex_day"))/E22))</f>
        <v>0</v>
      </c>
      <c r="G22" s="12" t="str">
        <f>IF(E22=0, 0, ((SUMIFS(INDEX(course_data, 0, 13), INDEX(course_data, 0, 1), "=2015-2016", INDEX(course_data, 0, 6), "=ex_day"))/E22))</f>
        <v>0</v>
      </c>
      <c r="H22" s="11" t="str">
        <f>SUMIFS(INDEX(course_data, 0, 10), INDEX(course_data, 0, 1), "=2015-2016", INDEX(course_data, 0, 6), "=online")</f>
        <v>0</v>
      </c>
      <c r="I22" s="12" t="str">
        <f>IF(H22=0, 0, ((SUMIFS(INDEX(course_data, 0, 11), INDEX(course_data, 0, 1), "=2015-2016", INDEX(course_data, 0, 6), "=online"))/H22))</f>
        <v>0</v>
      </c>
      <c r="J22" s="12" t="str">
        <f>IF(H22=0, 0, ((SUMIFS(INDEX(course_data, 0, 13), INDEX(course_data, 0, 1), "=2015-2016", INDEX(course_data, 0, 6), "=online"))/H22))</f>
        <v>0</v>
      </c>
    </row>
    <row r="23" spans="1:10">
      <c r="A23" s="10" t="s">
        <v>58</v>
      </c>
      <c r="B23" s="10" t="str">
        <f>SUMIFS(INDEX(course_data, 0, 10), INDEX(course_data, 0, 1), "=2016-2017", INDEX(course_data, 0, 6), "=day")</f>
        <v>0</v>
      </c>
      <c r="C23" s="13" t="str">
        <f>IF(B23=0, 0, ((SUMIFS(INDEX(course_data, 0, 11), INDEX(course_data, 0, 1), "=2016-2017", INDEX(course_data, 0, 6), "=day"))/B23))</f>
        <v>0</v>
      </c>
      <c r="D23" s="13" t="str">
        <f>IF(B23=0, 0, ((SUMIFS(INDEX(course_data, 0, 13), INDEX(course_data, 0, 1), "=2016-2017", INDEX(course_data, 0, 6), "=day"))/B23))</f>
        <v>0</v>
      </c>
      <c r="E23" s="10" t="str">
        <f>SUMIFS(INDEX(course_data, 0, 10), INDEX(course_data, 0, 1), "=2016-2017", INDEX(course_data, 0, 6), "=ex_day")</f>
        <v>0</v>
      </c>
      <c r="F23" s="13" t="str">
        <f>IF(E23=0, 0, ((SUMIFS(INDEX(course_data, 0, 11), INDEX(course_data, 0, 1), "=2016-2017", INDEX(course_data, 0, 6), "=ex_day"))/E23))</f>
        <v>0</v>
      </c>
      <c r="G23" s="13" t="str">
        <f>IF(E23=0, 0, ((SUMIFS(INDEX(course_data, 0, 13), INDEX(course_data, 0, 1), "=2016-2017", INDEX(course_data, 0, 6), "=ex_day"))/E23))</f>
        <v>0</v>
      </c>
      <c r="H23" s="10" t="str">
        <f>SUMIFS(INDEX(course_data, 0, 10), INDEX(course_data, 0, 1), "=2016-2017", INDEX(course_data, 0, 6), "=online")</f>
        <v>0</v>
      </c>
      <c r="I23" s="13" t="str">
        <f>IF(H23=0, 0, ((SUMIFS(INDEX(course_data, 0, 11), INDEX(course_data, 0, 1), "=2016-2017", INDEX(course_data, 0, 6), "=online"))/H23))</f>
        <v>0</v>
      </c>
      <c r="J23" s="13" t="str">
        <f>IF(H23=0, 0, ((SUMIFS(INDEX(course_data, 0, 13), INDEX(course_data, 0, 1), "=2016-2017", INDEX(course_data, 0, 6), "=online"))/H23))</f>
        <v>0</v>
      </c>
    </row>
    <row r="24" spans="1:10">
      <c r="A24" s="10" t="s">
        <v>1</v>
      </c>
      <c r="B24" s="11" t="str">
        <f>SUMIFS(INDEX(course_data, 0, 10), INDEX(course_data, 0, 1), "=2017-2018", INDEX(course_data, 0, 6), "=day")</f>
        <v>0</v>
      </c>
      <c r="C24" s="12" t="str">
        <f>IF(B24=0, 0, ((SUMIFS(INDEX(course_data, 0, 11), INDEX(course_data, 0, 1), "=2017-2018", INDEX(course_data, 0, 6), "=day"))/B24))</f>
        <v>0</v>
      </c>
      <c r="D24" s="12" t="str">
        <f>IF(B24=0, 0, ((SUMIFS(INDEX(course_data, 0, 13), INDEX(course_data, 0, 1), "=2017-2018", INDEX(course_data, 0, 6), "=day"))/B24))</f>
        <v>0</v>
      </c>
      <c r="E24" s="11" t="str">
        <f>SUMIFS(INDEX(course_data, 0, 10), INDEX(course_data, 0, 1), "=2017-2018", INDEX(course_data, 0, 6), "=ex_day")</f>
        <v>0</v>
      </c>
      <c r="F24" s="12" t="str">
        <f>IF(E24=0, 0, ((SUMIFS(INDEX(course_data, 0, 11), INDEX(course_data, 0, 1), "=2017-2018", INDEX(course_data, 0, 6), "=ex_day"))/E24))</f>
        <v>0</v>
      </c>
      <c r="G24" s="12" t="str">
        <f>IF(E24=0, 0, ((SUMIFS(INDEX(course_data, 0, 13), INDEX(course_data, 0, 1), "=2017-2018", INDEX(course_data, 0, 6), "=ex_day"))/E24))</f>
        <v>0</v>
      </c>
      <c r="H24" s="11" t="str">
        <f>SUMIFS(INDEX(course_data, 0, 10), INDEX(course_data, 0, 1), "=2017-2018", INDEX(course_data, 0, 6), "=online")</f>
        <v>0</v>
      </c>
      <c r="I24" s="12" t="str">
        <f>IF(H24=0, 0, ((SUMIFS(INDEX(course_data, 0, 11), INDEX(course_data, 0, 1), "=2017-2018", INDEX(course_data, 0, 6), "=online"))/H24))</f>
        <v>0</v>
      </c>
      <c r="J24" s="12" t="str">
        <f>IF(H24=0, 0, ((SUMIFS(INDEX(course_data, 0, 13), INDEX(course_data, 0, 1), "=2017-2018", INDEX(course_data, 0, 6), "=online"))/H24))</f>
        <v>0</v>
      </c>
    </row>
    <row r="25" spans="1:10">
      <c r="A25" s="14" t="s">
        <v>30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38</v>
      </c>
      <c r="B31" s="18"/>
      <c r="C31" t="s">
        <v>39</v>
      </c>
      <c r="D31"/>
      <c r="E31"/>
      <c r="F31"/>
      <c r="G31"/>
      <c r="H31"/>
      <c r="I31"/>
      <c r="J31"/>
    </row>
    <row r="32" spans="1:10">
      <c r="A32" s="17" t="s">
        <v>40</v>
      </c>
      <c r="B32" s="18"/>
      <c r="C32" t="s">
        <v>41</v>
      </c>
      <c r="D32"/>
      <c r="E32"/>
      <c r="F32"/>
      <c r="G32"/>
      <c r="H32"/>
      <c r="I32"/>
      <c r="J32"/>
    </row>
    <row r="33" spans="1:10">
      <c r="A33" s="17" t="s">
        <v>42</v>
      </c>
      <c r="B33" s="18"/>
      <c r="C33" t="s">
        <v>43</v>
      </c>
      <c r="D33"/>
      <c r="E33"/>
      <c r="F33"/>
      <c r="G33"/>
      <c r="H33"/>
      <c r="I33"/>
      <c r="J33"/>
    </row>
    <row r="34" spans="1:10">
      <c r="A34" s="17" t="s">
        <v>48</v>
      </c>
      <c r="B34" s="18"/>
      <c r="C34" t="s">
        <v>49</v>
      </c>
      <c r="D34"/>
      <c r="E34"/>
      <c r="F34"/>
      <c r="G34"/>
      <c r="H34"/>
      <c r="I34"/>
      <c r="J34"/>
    </row>
    <row r="35" spans="1:10">
      <c r="A35" s="17" t="s">
        <v>72</v>
      </c>
      <c r="B35" s="18"/>
      <c r="C35" t="s">
        <v>73</v>
      </c>
      <c r="D35"/>
      <c r="E35"/>
      <c r="F35"/>
      <c r="G35"/>
      <c r="H35"/>
      <c r="I35"/>
      <c r="J35"/>
    </row>
    <row r="36" spans="1:10">
      <c r="A36" s="17" t="s">
        <v>74</v>
      </c>
      <c r="B36" s="18"/>
      <c r="C36" t="s">
        <v>75</v>
      </c>
      <c r="D36"/>
      <c r="E36"/>
      <c r="F36"/>
      <c r="G36"/>
      <c r="H36"/>
      <c r="I36"/>
      <c r="J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  <mergeCell ref="A34:B34"/>
    <mergeCell ref="C34:J34"/>
    <mergeCell ref="A35:B35"/>
    <mergeCell ref="C35:J35"/>
    <mergeCell ref="A36:B36"/>
    <mergeCell ref="C36:J36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76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77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78</v>
      </c>
      <c r="C4" s="9"/>
      <c r="D4" s="9"/>
      <c r="E4" s="9" t="s">
        <v>79</v>
      </c>
      <c r="F4" s="9"/>
      <c r="G4" s="9"/>
      <c r="H4" s="9" t="s">
        <v>80</v>
      </c>
      <c r="I4" s="9"/>
      <c r="J4" s="9"/>
      <c r="K4" s="9" t="s">
        <v>81</v>
      </c>
      <c r="L4" s="9"/>
      <c r="M4" s="9"/>
      <c r="N4" s="9" t="s">
        <v>82</v>
      </c>
      <c r="O4" s="9"/>
      <c r="P4" s="9"/>
    </row>
    <row r="5" spans="1:16">
      <c r="A5" s="9" t="s">
        <v>13</v>
      </c>
      <c r="B5" s="9" t="s">
        <v>83</v>
      </c>
      <c r="C5" s="9" t="s">
        <v>84</v>
      </c>
      <c r="D5" s="9" t="s">
        <v>85</v>
      </c>
      <c r="E5" s="9" t="s">
        <v>83</v>
      </c>
      <c r="F5" s="9" t="s">
        <v>84</v>
      </c>
      <c r="G5" s="9" t="s">
        <v>85</v>
      </c>
      <c r="H5" s="9" t="s">
        <v>83</v>
      </c>
      <c r="I5" s="9" t="s">
        <v>84</v>
      </c>
      <c r="J5" s="9" t="s">
        <v>85</v>
      </c>
      <c r="K5" s="9" t="s">
        <v>83</v>
      </c>
      <c r="L5" s="9" t="s">
        <v>84</v>
      </c>
      <c r="M5" s="9" t="s">
        <v>85</v>
      </c>
      <c r="N5" s="9" t="s">
        <v>83</v>
      </c>
      <c r="O5" s="9" t="s">
        <v>84</v>
      </c>
      <c r="P5" s="9" t="s">
        <v>85</v>
      </c>
    </row>
    <row r="6" spans="1:16">
      <c r="A6" s="10" t="s">
        <v>18</v>
      </c>
      <c r="B6" s="11">
        <v>0</v>
      </c>
      <c r="C6" s="12">
        <v>0</v>
      </c>
      <c r="D6" s="12">
        <v>0</v>
      </c>
      <c r="E6" s="11">
        <v>207</v>
      </c>
      <c r="F6" s="12">
        <v>0.826087</v>
      </c>
      <c r="G6" s="12">
        <v>0.8647343</v>
      </c>
      <c r="H6" s="11">
        <v>3</v>
      </c>
      <c r="I6" s="12">
        <v>1</v>
      </c>
      <c r="J6" s="12">
        <v>1</v>
      </c>
      <c r="K6" s="11">
        <v>0</v>
      </c>
      <c r="L6" s="12">
        <v>0</v>
      </c>
      <c r="M6" s="12">
        <v>0</v>
      </c>
      <c r="N6" s="11">
        <v>115</v>
      </c>
      <c r="O6" s="12">
        <v>0.7478261</v>
      </c>
      <c r="P6" s="12">
        <v>0.8</v>
      </c>
    </row>
    <row r="7" spans="1:16">
      <c r="A7" s="10" t="s">
        <v>19</v>
      </c>
      <c r="B7" s="10">
        <v>0</v>
      </c>
      <c r="C7" s="13">
        <v>0</v>
      </c>
      <c r="D7" s="13">
        <v>0</v>
      </c>
      <c r="E7" s="10">
        <v>13</v>
      </c>
      <c r="F7" s="13">
        <v>1</v>
      </c>
      <c r="G7" s="13">
        <v>1</v>
      </c>
      <c r="H7" s="10">
        <v>1</v>
      </c>
      <c r="I7" s="13">
        <v>1</v>
      </c>
      <c r="J7" s="13">
        <v>1</v>
      </c>
      <c r="K7" s="10">
        <v>0</v>
      </c>
      <c r="L7" s="13">
        <v>0</v>
      </c>
      <c r="M7" s="13">
        <v>0</v>
      </c>
      <c r="N7" s="10">
        <v>5</v>
      </c>
      <c r="O7" s="13">
        <v>1</v>
      </c>
      <c r="P7" s="13">
        <v>1</v>
      </c>
    </row>
    <row r="8" spans="1:16">
      <c r="A8" s="10" t="s">
        <v>20</v>
      </c>
      <c r="B8" s="11">
        <v>1</v>
      </c>
      <c r="C8" s="12">
        <v>1</v>
      </c>
      <c r="D8" s="12">
        <v>1</v>
      </c>
      <c r="E8" s="11">
        <v>214</v>
      </c>
      <c r="F8" s="12">
        <v>0.8598131</v>
      </c>
      <c r="G8" s="12">
        <v>0.8831776</v>
      </c>
      <c r="H8" s="11">
        <v>3</v>
      </c>
      <c r="I8" s="12">
        <v>1</v>
      </c>
      <c r="J8" s="12">
        <v>1</v>
      </c>
      <c r="K8" s="11">
        <v>0</v>
      </c>
      <c r="L8" s="12">
        <v>0</v>
      </c>
      <c r="M8" s="12">
        <v>0</v>
      </c>
      <c r="N8" s="11">
        <v>126</v>
      </c>
      <c r="O8" s="12">
        <v>0.8333333</v>
      </c>
      <c r="P8" s="12">
        <v>0.9285714</v>
      </c>
    </row>
    <row r="9" spans="1:16">
      <c r="A9" s="10" t="s">
        <v>21</v>
      </c>
      <c r="B9" s="10">
        <v>0</v>
      </c>
      <c r="C9" s="13">
        <v>0</v>
      </c>
      <c r="D9" s="13">
        <v>0</v>
      </c>
      <c r="E9" s="10">
        <v>30</v>
      </c>
      <c r="F9" s="13">
        <v>0.9666667</v>
      </c>
      <c r="G9" s="13">
        <v>0.9666667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30</v>
      </c>
      <c r="O9" s="13">
        <v>0.9333333</v>
      </c>
      <c r="P9" s="13">
        <v>0.9666667</v>
      </c>
    </row>
    <row r="10" spans="1:16">
      <c r="A10" s="10" t="s">
        <v>22</v>
      </c>
      <c r="B10" s="11">
        <v>0</v>
      </c>
      <c r="C10" s="12">
        <v>0</v>
      </c>
      <c r="D10" s="12">
        <v>0</v>
      </c>
      <c r="E10" s="11">
        <v>170</v>
      </c>
      <c r="F10" s="12">
        <v>0.9176471</v>
      </c>
      <c r="G10" s="12">
        <v>0.9647059</v>
      </c>
      <c r="H10" s="11">
        <v>4</v>
      </c>
      <c r="I10" s="12">
        <v>1</v>
      </c>
      <c r="J10" s="12">
        <v>1</v>
      </c>
      <c r="K10" s="11">
        <v>0</v>
      </c>
      <c r="L10" s="12">
        <v>0</v>
      </c>
      <c r="M10" s="12">
        <v>0</v>
      </c>
      <c r="N10" s="11">
        <v>197</v>
      </c>
      <c r="O10" s="12">
        <v>0.8324873</v>
      </c>
      <c r="P10" s="12">
        <v>0.8883249</v>
      </c>
    </row>
    <row r="11" spans="1:16">
      <c r="A11" s="10" t="s">
        <v>23</v>
      </c>
      <c r="B11" s="10">
        <v>0</v>
      </c>
      <c r="C11" s="13">
        <v>0</v>
      </c>
      <c r="D11" s="13">
        <v>0</v>
      </c>
      <c r="E11" s="10">
        <v>4</v>
      </c>
      <c r="F11" s="13">
        <v>1</v>
      </c>
      <c r="G11" s="13">
        <v>1</v>
      </c>
      <c r="H11" s="10">
        <v>1</v>
      </c>
      <c r="I11" s="13">
        <v>1</v>
      </c>
      <c r="J11" s="13">
        <v>1</v>
      </c>
      <c r="K11" s="10">
        <v>0</v>
      </c>
      <c r="L11" s="13">
        <v>0</v>
      </c>
      <c r="M11" s="13">
        <v>0</v>
      </c>
      <c r="N11" s="10">
        <v>9</v>
      </c>
      <c r="O11" s="13">
        <v>1</v>
      </c>
      <c r="P11" s="13">
        <v>1</v>
      </c>
    </row>
    <row r="12" spans="1:16">
      <c r="A12" s="10" t="s">
        <v>24</v>
      </c>
      <c r="B12" s="11">
        <v>0</v>
      </c>
      <c r="C12" s="12">
        <v>0</v>
      </c>
      <c r="D12" s="12">
        <v>0</v>
      </c>
      <c r="E12" s="11">
        <v>152</v>
      </c>
      <c r="F12" s="12">
        <v>0.8421053</v>
      </c>
      <c r="G12" s="12">
        <v>0.9013158</v>
      </c>
      <c r="H12" s="11">
        <v>0</v>
      </c>
      <c r="I12" s="12">
        <v>0</v>
      </c>
      <c r="J12" s="12">
        <v>0</v>
      </c>
      <c r="K12" s="11">
        <v>0</v>
      </c>
      <c r="L12" s="12">
        <v>0</v>
      </c>
      <c r="M12" s="12">
        <v>0</v>
      </c>
      <c r="N12" s="11">
        <v>219</v>
      </c>
      <c r="O12" s="12">
        <v>0.8082192</v>
      </c>
      <c r="P12" s="12">
        <v>0.890411</v>
      </c>
    </row>
    <row r="13" spans="1:16">
      <c r="A13" s="10" t="s">
        <v>25</v>
      </c>
      <c r="B13" s="10">
        <v>0</v>
      </c>
      <c r="C13" s="13">
        <v>0</v>
      </c>
      <c r="D13" s="13">
        <v>0</v>
      </c>
      <c r="E13" s="10">
        <v>6</v>
      </c>
      <c r="F13" s="13">
        <v>1</v>
      </c>
      <c r="G13" s="13">
        <v>1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11</v>
      </c>
      <c r="O13" s="13">
        <v>1</v>
      </c>
      <c r="P13" s="13">
        <v>1</v>
      </c>
    </row>
    <row r="14" spans="1:16">
      <c r="A14" s="10" t="s">
        <v>26</v>
      </c>
      <c r="B14" s="11">
        <v>1</v>
      </c>
      <c r="C14" s="12">
        <v>1</v>
      </c>
      <c r="D14" s="12">
        <v>1</v>
      </c>
      <c r="E14" s="11">
        <v>130</v>
      </c>
      <c r="F14" s="12">
        <v>0.8230769</v>
      </c>
      <c r="G14" s="12">
        <v>0.8461538</v>
      </c>
      <c r="H14" s="11">
        <v>0</v>
      </c>
      <c r="I14" s="12">
        <v>0</v>
      </c>
      <c r="J14" s="12">
        <v>0</v>
      </c>
      <c r="K14" s="11">
        <v>0</v>
      </c>
      <c r="L14" s="12">
        <v>0</v>
      </c>
      <c r="M14" s="12">
        <v>0</v>
      </c>
      <c r="N14" s="11">
        <v>275</v>
      </c>
      <c r="O14" s="12">
        <v>0.8545455</v>
      </c>
      <c r="P14" s="12">
        <v>0.9381818</v>
      </c>
    </row>
    <row r="15" spans="1:16">
      <c r="A15" s="10" t="s">
        <v>27</v>
      </c>
      <c r="B15" s="10">
        <v>0</v>
      </c>
      <c r="C15" s="13">
        <v>0</v>
      </c>
      <c r="D15" s="13">
        <v>0</v>
      </c>
      <c r="E15" s="10">
        <v>4</v>
      </c>
      <c r="F15" s="13">
        <v>1</v>
      </c>
      <c r="G15" s="13">
        <v>1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17</v>
      </c>
      <c r="O15" s="13">
        <v>0.8235294</v>
      </c>
      <c r="P15" s="13">
        <v>0.8823529</v>
      </c>
    </row>
    <row r="16" spans="1:16">
      <c r="A16" s="10" t="s">
        <v>28</v>
      </c>
      <c r="B16" s="11">
        <v>0</v>
      </c>
      <c r="C16" s="12">
        <v>0</v>
      </c>
      <c r="D16" s="12">
        <v>0</v>
      </c>
      <c r="E16" s="11">
        <v>75</v>
      </c>
      <c r="F16" s="12">
        <v>0.8266667</v>
      </c>
      <c r="G16" s="12">
        <v>0.92</v>
      </c>
      <c r="H16" s="11">
        <v>0</v>
      </c>
      <c r="I16" s="12">
        <v>0</v>
      </c>
      <c r="J16" s="12">
        <v>0</v>
      </c>
      <c r="K16" s="11">
        <v>0</v>
      </c>
      <c r="L16" s="12">
        <v>0</v>
      </c>
      <c r="M16" s="12">
        <v>0</v>
      </c>
      <c r="N16" s="11">
        <v>280</v>
      </c>
      <c r="O16" s="12">
        <v>0.8428571</v>
      </c>
      <c r="P16" s="12">
        <v>0.9214286</v>
      </c>
    </row>
    <row r="17" spans="1:16">
      <c r="A17" s="10" t="s">
        <v>29</v>
      </c>
      <c r="B17" s="10">
        <v>0</v>
      </c>
      <c r="C17" s="13">
        <v>0</v>
      </c>
      <c r="D17" s="13">
        <v>0</v>
      </c>
      <c r="E17" s="10">
        <v>8</v>
      </c>
      <c r="F17" s="13">
        <v>1</v>
      </c>
      <c r="G17" s="13">
        <v>1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37</v>
      </c>
      <c r="O17" s="13">
        <v>1</v>
      </c>
      <c r="P17" s="13">
        <v>1</v>
      </c>
    </row>
    <row r="18" spans="1:16">
      <c r="A18" s="14" t="s">
        <v>86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0, ((K6*L6)+(K7*L7)+(K8*L8)+(K9*L9)+(K10*L10)+(K11*L11)+(K12*L12)+(K13*L13)+(K14*L14)+(K15*L15)+(K16*L16)+(K17*L17))/K18)</f>
        <v>0</v>
      </c>
      <c r="M18" s="16" t="str">
        <f>IF(K18=0, 0,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0, ((N6*O6)+(N7*O7)+(N8*O8)+(N9*O9)+(N10*O10)+(N11*O11)+(N12*O12)+(N13*O13)+(N14*O14)+(N15*O15)+(N16*O16)+(N17*O17))/N18)</f>
        <v>0</v>
      </c>
      <c r="P18" s="16" t="str">
        <f>IF(N18=0, 0, ((N6*P6)+(N7*P7)+(N8*P8)+(N9*P9)+(N10*P10)+(N11*P11)+(N12*P12)+(N13*P13)+(N14*P14)+(N15*P15)+(N16*P16)+(N17*P17))/N18)</f>
        <v>0</v>
      </c>
    </row>
    <row r="20" spans="1:16">
      <c r="B20" s="9" t="s">
        <v>78</v>
      </c>
      <c r="C20" s="9"/>
      <c r="D20" s="9"/>
      <c r="E20" s="9" t="s">
        <v>79</v>
      </c>
      <c r="F20" s="9"/>
      <c r="G20" s="9"/>
      <c r="H20" s="9" t="s">
        <v>80</v>
      </c>
      <c r="I20" s="9"/>
      <c r="J20" s="9"/>
      <c r="K20" s="9" t="s">
        <v>81</v>
      </c>
      <c r="L20" s="9"/>
      <c r="M20" s="9"/>
      <c r="N20" s="9" t="s">
        <v>82</v>
      </c>
      <c r="O20" s="9"/>
      <c r="P20" s="9"/>
    </row>
    <row r="21" spans="1:16">
      <c r="A21" s="9" t="s">
        <v>31</v>
      </c>
      <c r="B21" s="9" t="s">
        <v>83</v>
      </c>
      <c r="C21" s="9" t="s">
        <v>84</v>
      </c>
      <c r="D21" s="9" t="s">
        <v>85</v>
      </c>
      <c r="E21" s="9" t="s">
        <v>83</v>
      </c>
      <c r="F21" s="9" t="s">
        <v>84</v>
      </c>
      <c r="G21" s="9" t="s">
        <v>85</v>
      </c>
      <c r="H21" s="9" t="s">
        <v>83</v>
      </c>
      <c r="I21" s="9" t="s">
        <v>84</v>
      </c>
      <c r="J21" s="9" t="s">
        <v>85</v>
      </c>
      <c r="K21" s="9" t="s">
        <v>83</v>
      </c>
      <c r="L21" s="9" t="s">
        <v>84</v>
      </c>
      <c r="M21" s="9" t="s">
        <v>85</v>
      </c>
      <c r="N21" s="9" t="s">
        <v>83</v>
      </c>
      <c r="O21" s="9" t="s">
        <v>84</v>
      </c>
      <c r="P21" s="9" t="s">
        <v>85</v>
      </c>
    </row>
    <row r="22" spans="1:16">
      <c r="A22" s="10" t="s">
        <v>57</v>
      </c>
      <c r="B22" s="11">
        <v>1</v>
      </c>
      <c r="C22" s="12">
        <v>1</v>
      </c>
      <c r="D22" s="12">
        <v>1</v>
      </c>
      <c r="E22" s="11">
        <v>463</v>
      </c>
      <c r="F22" s="12">
        <v>0.8552916</v>
      </c>
      <c r="G22" s="12">
        <v>0.8833693</v>
      </c>
      <c r="H22" s="11">
        <v>7</v>
      </c>
      <c r="I22" s="12">
        <v>1</v>
      </c>
      <c r="J22" s="12">
        <v>1</v>
      </c>
      <c r="K22" s="11">
        <v>0</v>
      </c>
      <c r="L22" s="12">
        <v>0</v>
      </c>
      <c r="M22" s="12">
        <v>0</v>
      </c>
      <c r="N22" s="11">
        <v>277</v>
      </c>
      <c r="O22" s="12">
        <v>0.8122744</v>
      </c>
      <c r="P22" s="12">
        <v>0.8808664</v>
      </c>
    </row>
    <row r="23" spans="1:16">
      <c r="A23" s="10" t="s">
        <v>58</v>
      </c>
      <c r="B23" s="10">
        <v>0</v>
      </c>
      <c r="C23" s="13">
        <v>0</v>
      </c>
      <c r="D23" s="13">
        <v>0</v>
      </c>
      <c r="E23" s="10">
        <v>331</v>
      </c>
      <c r="F23" s="13">
        <v>0.8851964</v>
      </c>
      <c r="G23" s="13">
        <v>0.9365559</v>
      </c>
      <c r="H23" s="10">
        <v>5</v>
      </c>
      <c r="I23" s="13">
        <v>1</v>
      </c>
      <c r="J23" s="13">
        <v>1</v>
      </c>
      <c r="K23" s="10">
        <v>0</v>
      </c>
      <c r="L23" s="13">
        <v>0</v>
      </c>
      <c r="M23" s="13">
        <v>0</v>
      </c>
      <c r="N23" s="10">
        <v>437</v>
      </c>
      <c r="O23" s="13">
        <v>0.8283753</v>
      </c>
      <c r="P23" s="13">
        <v>0.8947368</v>
      </c>
    </row>
    <row r="24" spans="1:16">
      <c r="A24" s="10" t="s">
        <v>1</v>
      </c>
      <c r="B24" s="11">
        <v>1</v>
      </c>
      <c r="C24" s="12">
        <v>1</v>
      </c>
      <c r="D24" s="12">
        <v>1</v>
      </c>
      <c r="E24" s="11">
        <v>218</v>
      </c>
      <c r="F24" s="12">
        <v>0.8348624</v>
      </c>
      <c r="G24" s="12">
        <v>0.8807339</v>
      </c>
      <c r="H24" s="11">
        <v>0</v>
      </c>
      <c r="I24" s="12">
        <v>0</v>
      </c>
      <c r="J24" s="12">
        <v>0</v>
      </c>
      <c r="K24" s="11">
        <v>0</v>
      </c>
      <c r="L24" s="12">
        <v>0</v>
      </c>
      <c r="M24" s="12">
        <v>0</v>
      </c>
      <c r="N24" s="11">
        <v>608</v>
      </c>
      <c r="O24" s="12">
        <v>0.8569079</v>
      </c>
      <c r="P24" s="12">
        <v>0.9325658</v>
      </c>
    </row>
    <row r="25" spans="1:16">
      <c r="A25" s="14" t="s">
        <v>86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  <c r="K25" s="15" t="str">
        <f>SUM(K22:K24)</f>
        <v>0</v>
      </c>
      <c r="L25" s="16" t="str">
        <f>IF(K25=0, 0, ((K22*L22)+(K23*L23)+(K24*L24))/K25)</f>
        <v>0</v>
      </c>
      <c r="M25" s="16" t="str">
        <f>IF(K25=0, 0, ((K22*M22)+(K23*M23)+(K24*M24))/K25)</f>
        <v>0</v>
      </c>
      <c r="N25" s="15" t="str">
        <f>SUM(N22:N24)</f>
        <v>0</v>
      </c>
      <c r="O25" s="16" t="str">
        <f>IF(N25=0, 0, ((N22*O22)+(N23*O23)+(N24*O24))/N25)</f>
        <v>0</v>
      </c>
      <c r="P25" s="16" t="str">
        <f>IF(N25=0, 0, ((N22*P22)+(N23*P23)+(N24*P24))/N25)</f>
        <v>0</v>
      </c>
    </row>
    <row r="28" spans="1:16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30" spans="1:16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6">
      <c r="A32" s="17" t="s">
        <v>72</v>
      </c>
      <c r="B32" s="18"/>
      <c r="C32" t="s">
        <v>87</v>
      </c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 s="17" t="s">
        <v>74</v>
      </c>
      <c r="B33" s="18"/>
      <c r="C33" t="s">
        <v>75</v>
      </c>
      <c r="D33"/>
      <c r="E33"/>
      <c r="F33"/>
      <c r="G33"/>
      <c r="H33"/>
      <c r="I33"/>
      <c r="J33"/>
      <c r="K33"/>
      <c r="L33"/>
      <c r="M33"/>
      <c r="N33"/>
      <c r="O33"/>
      <c r="P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  <mergeCell ref="B20:D20"/>
    <mergeCell ref="E20:G20"/>
    <mergeCell ref="H20:J20"/>
    <mergeCell ref="K20:M20"/>
    <mergeCell ref="N20:P20"/>
    <mergeCell ref="A28:P28"/>
    <mergeCell ref="A30:B30"/>
    <mergeCell ref="C30:P30"/>
    <mergeCell ref="A31:B31"/>
    <mergeCell ref="C31:P31"/>
    <mergeCell ref="A32:B32"/>
    <mergeCell ref="C32:P32"/>
    <mergeCell ref="A33:B33"/>
    <mergeCell ref="C33:P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88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89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90</v>
      </c>
      <c r="C4" s="9"/>
      <c r="D4" s="9"/>
      <c r="E4" s="9" t="s">
        <v>91</v>
      </c>
      <c r="F4" s="9"/>
      <c r="G4" s="9"/>
      <c r="H4" s="9" t="s">
        <v>92</v>
      </c>
      <c r="I4" s="9"/>
      <c r="J4" s="9"/>
      <c r="K4" s="9" t="s">
        <v>93</v>
      </c>
      <c r="L4" s="9"/>
      <c r="M4" s="9"/>
      <c r="N4" s="9" t="s">
        <v>94</v>
      </c>
      <c r="O4" s="9"/>
      <c r="P4" s="9"/>
      <c r="Q4" s="9" t="s">
        <v>95</v>
      </c>
      <c r="R4" s="9"/>
      <c r="S4" s="9"/>
      <c r="T4" s="9" t="s">
        <v>96</v>
      </c>
      <c r="U4" s="9"/>
      <c r="V4" s="9"/>
    </row>
    <row r="5" spans="1:22">
      <c r="A5" s="9" t="s">
        <v>13</v>
      </c>
      <c r="B5" s="9" t="s">
        <v>83</v>
      </c>
      <c r="C5" s="9" t="s">
        <v>84</v>
      </c>
      <c r="D5" s="9" t="s">
        <v>85</v>
      </c>
      <c r="E5" s="9" t="s">
        <v>83</v>
      </c>
      <c r="F5" s="9" t="s">
        <v>84</v>
      </c>
      <c r="G5" s="9" t="s">
        <v>85</v>
      </c>
      <c r="H5" s="9" t="s">
        <v>83</v>
      </c>
      <c r="I5" s="9" t="s">
        <v>84</v>
      </c>
      <c r="J5" s="9" t="s">
        <v>85</v>
      </c>
      <c r="K5" s="9" t="s">
        <v>83</v>
      </c>
      <c r="L5" s="9" t="s">
        <v>84</v>
      </c>
      <c r="M5" s="9" t="s">
        <v>85</v>
      </c>
      <c r="N5" s="9" t="s">
        <v>83</v>
      </c>
      <c r="O5" s="9" t="s">
        <v>84</v>
      </c>
      <c r="P5" s="9" t="s">
        <v>85</v>
      </c>
      <c r="Q5" s="9" t="s">
        <v>83</v>
      </c>
      <c r="R5" s="9" t="s">
        <v>84</v>
      </c>
      <c r="S5" s="9" t="s">
        <v>85</v>
      </c>
      <c r="T5" s="9" t="s">
        <v>83</v>
      </c>
      <c r="U5" s="9" t="s">
        <v>84</v>
      </c>
      <c r="V5" s="9" t="s">
        <v>85</v>
      </c>
    </row>
    <row r="6" spans="1:22">
      <c r="A6" s="10" t="s">
        <v>18</v>
      </c>
      <c r="B6" s="11">
        <v>112</v>
      </c>
      <c r="C6" s="12">
        <v>0.8660714</v>
      </c>
      <c r="D6" s="12">
        <v>0.9285714</v>
      </c>
      <c r="E6" s="11">
        <v>162</v>
      </c>
      <c r="F6" s="12">
        <v>0.8024691</v>
      </c>
      <c r="G6" s="12">
        <v>0.8271605</v>
      </c>
      <c r="H6" s="11">
        <v>23</v>
      </c>
      <c r="I6" s="12">
        <v>0.5652174</v>
      </c>
      <c r="J6" s="12">
        <v>0.6086957</v>
      </c>
      <c r="K6" s="11">
        <v>8</v>
      </c>
      <c r="L6" s="12">
        <v>0.625</v>
      </c>
      <c r="M6" s="12">
        <v>0.875</v>
      </c>
      <c r="N6" s="11">
        <v>9</v>
      </c>
      <c r="O6" s="12">
        <v>0.7777778</v>
      </c>
      <c r="P6" s="12">
        <v>0.7777778</v>
      </c>
      <c r="Q6" s="11">
        <v>7</v>
      </c>
      <c r="R6" s="12">
        <v>0.8571429</v>
      </c>
      <c r="S6" s="12">
        <v>0.8571429</v>
      </c>
      <c r="T6" s="11">
        <v>4</v>
      </c>
      <c r="U6" s="12">
        <v>0.5</v>
      </c>
      <c r="V6" s="12">
        <v>0.5</v>
      </c>
    </row>
    <row r="7" spans="1:22">
      <c r="A7" s="10" t="s">
        <v>19</v>
      </c>
      <c r="B7" s="10">
        <v>10</v>
      </c>
      <c r="C7" s="13">
        <v>1</v>
      </c>
      <c r="D7" s="13">
        <v>1</v>
      </c>
      <c r="E7" s="10">
        <v>7</v>
      </c>
      <c r="F7" s="13">
        <v>1</v>
      </c>
      <c r="G7" s="13">
        <v>1</v>
      </c>
      <c r="H7" s="10">
        <v>1</v>
      </c>
      <c r="I7" s="13">
        <v>1</v>
      </c>
      <c r="J7" s="13">
        <v>1</v>
      </c>
      <c r="K7" s="10">
        <v>0</v>
      </c>
      <c r="L7" s="13">
        <v>0</v>
      </c>
      <c r="M7" s="13">
        <v>0</v>
      </c>
      <c r="N7" s="10">
        <v>1</v>
      </c>
      <c r="O7" s="13">
        <v>1</v>
      </c>
      <c r="P7" s="13">
        <v>1</v>
      </c>
      <c r="Q7" s="10">
        <v>0</v>
      </c>
      <c r="R7" s="13">
        <v>0</v>
      </c>
      <c r="S7" s="13">
        <v>0</v>
      </c>
      <c r="T7" s="10">
        <v>0</v>
      </c>
      <c r="U7" s="13">
        <v>0</v>
      </c>
      <c r="V7" s="13">
        <v>0</v>
      </c>
    </row>
    <row r="8" spans="1:22">
      <c r="A8" s="10" t="s">
        <v>20</v>
      </c>
      <c r="B8" s="11">
        <v>126</v>
      </c>
      <c r="C8" s="12">
        <v>0.8888889</v>
      </c>
      <c r="D8" s="12">
        <v>0.9444444</v>
      </c>
      <c r="E8" s="11">
        <v>176</v>
      </c>
      <c r="F8" s="12">
        <v>0.8352273</v>
      </c>
      <c r="G8" s="12">
        <v>0.8863636</v>
      </c>
      <c r="H8" s="11">
        <v>23</v>
      </c>
      <c r="I8" s="12">
        <v>0.6956522</v>
      </c>
      <c r="J8" s="12">
        <v>0.7391304</v>
      </c>
      <c r="K8" s="11">
        <v>7</v>
      </c>
      <c r="L8" s="12">
        <v>1</v>
      </c>
      <c r="M8" s="12">
        <v>1</v>
      </c>
      <c r="N8" s="11">
        <v>6</v>
      </c>
      <c r="O8" s="12">
        <v>1</v>
      </c>
      <c r="P8" s="12">
        <v>1</v>
      </c>
      <c r="Q8" s="11">
        <v>5</v>
      </c>
      <c r="R8" s="12">
        <v>0.8</v>
      </c>
      <c r="S8" s="12">
        <v>0.8</v>
      </c>
      <c r="T8" s="11">
        <v>1</v>
      </c>
      <c r="U8" s="12">
        <v>1</v>
      </c>
      <c r="V8" s="12">
        <v>1</v>
      </c>
    </row>
    <row r="9" spans="1:22">
      <c r="A9" s="10" t="s">
        <v>21</v>
      </c>
      <c r="B9" s="10">
        <v>29</v>
      </c>
      <c r="C9" s="13">
        <v>0.9310345</v>
      </c>
      <c r="D9" s="13">
        <v>0.9310345</v>
      </c>
      <c r="E9" s="10">
        <v>23</v>
      </c>
      <c r="F9" s="13">
        <v>1</v>
      </c>
      <c r="G9" s="13">
        <v>1</v>
      </c>
      <c r="H9" s="10">
        <v>5</v>
      </c>
      <c r="I9" s="13">
        <v>1</v>
      </c>
      <c r="J9" s="13">
        <v>1</v>
      </c>
      <c r="K9" s="10">
        <v>1</v>
      </c>
      <c r="L9" s="13">
        <v>1</v>
      </c>
      <c r="M9" s="13">
        <v>1</v>
      </c>
      <c r="N9" s="10">
        <v>0</v>
      </c>
      <c r="O9" s="13">
        <v>0</v>
      </c>
      <c r="P9" s="13">
        <v>0</v>
      </c>
      <c r="Q9" s="10">
        <v>0</v>
      </c>
      <c r="R9" s="13">
        <v>0</v>
      </c>
      <c r="S9" s="13">
        <v>0</v>
      </c>
      <c r="T9" s="10">
        <v>2</v>
      </c>
      <c r="U9" s="13">
        <v>0.5</v>
      </c>
      <c r="V9" s="13">
        <v>1</v>
      </c>
    </row>
    <row r="10" spans="1:22">
      <c r="A10" s="10" t="s">
        <v>22</v>
      </c>
      <c r="B10" s="11">
        <v>137</v>
      </c>
      <c r="C10" s="12">
        <v>0.8905109</v>
      </c>
      <c r="D10" s="12">
        <v>0.9343066</v>
      </c>
      <c r="E10" s="11">
        <v>171</v>
      </c>
      <c r="F10" s="12">
        <v>0.8947368</v>
      </c>
      <c r="G10" s="12">
        <v>0.9473684</v>
      </c>
      <c r="H10" s="11">
        <v>32</v>
      </c>
      <c r="I10" s="12">
        <v>0.71875</v>
      </c>
      <c r="J10" s="12">
        <v>0.78125</v>
      </c>
      <c r="K10" s="11">
        <v>12</v>
      </c>
      <c r="L10" s="12">
        <v>0.8333333</v>
      </c>
      <c r="M10" s="12">
        <v>1</v>
      </c>
      <c r="N10" s="11">
        <v>8</v>
      </c>
      <c r="O10" s="12">
        <v>1</v>
      </c>
      <c r="P10" s="12">
        <v>1</v>
      </c>
      <c r="Q10" s="11">
        <v>7</v>
      </c>
      <c r="R10" s="12">
        <v>0.7142857</v>
      </c>
      <c r="S10" s="12">
        <v>0.7142857</v>
      </c>
      <c r="T10" s="11">
        <v>4</v>
      </c>
      <c r="U10" s="12">
        <v>0.75</v>
      </c>
      <c r="V10" s="12">
        <v>0.75</v>
      </c>
    </row>
    <row r="11" spans="1:22">
      <c r="A11" s="10" t="s">
        <v>23</v>
      </c>
      <c r="B11" s="10">
        <v>8</v>
      </c>
      <c r="C11" s="13">
        <v>1</v>
      </c>
      <c r="D11" s="13">
        <v>1</v>
      </c>
      <c r="E11" s="10">
        <v>6</v>
      </c>
      <c r="F11" s="13">
        <v>1</v>
      </c>
      <c r="G11" s="13">
        <v>1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0</v>
      </c>
      <c r="O11" s="13">
        <v>0</v>
      </c>
      <c r="P11" s="13">
        <v>0</v>
      </c>
      <c r="Q11" s="10">
        <v>0</v>
      </c>
      <c r="R11" s="13">
        <v>0</v>
      </c>
      <c r="S11" s="13">
        <v>0</v>
      </c>
      <c r="T11" s="10">
        <v>0</v>
      </c>
      <c r="U11" s="13">
        <v>0</v>
      </c>
      <c r="V11" s="13">
        <v>0</v>
      </c>
    </row>
    <row r="12" spans="1:22">
      <c r="A12" s="10" t="s">
        <v>24</v>
      </c>
      <c r="B12" s="11">
        <v>121</v>
      </c>
      <c r="C12" s="12">
        <v>0.8842975</v>
      </c>
      <c r="D12" s="12">
        <v>0.9338843</v>
      </c>
      <c r="E12" s="11">
        <v>195</v>
      </c>
      <c r="F12" s="12">
        <v>0.8102564</v>
      </c>
      <c r="G12" s="12">
        <v>0.8871795</v>
      </c>
      <c r="H12" s="11">
        <v>19</v>
      </c>
      <c r="I12" s="12">
        <v>0.7894737</v>
      </c>
      <c r="J12" s="12">
        <v>0.9473684</v>
      </c>
      <c r="K12" s="11">
        <v>17</v>
      </c>
      <c r="L12" s="12">
        <v>0.8823529</v>
      </c>
      <c r="M12" s="12">
        <v>0.8823529</v>
      </c>
      <c r="N12" s="11">
        <v>7</v>
      </c>
      <c r="O12" s="12">
        <v>0.2857143</v>
      </c>
      <c r="P12" s="12">
        <v>0.5714286</v>
      </c>
      <c r="Q12" s="11">
        <v>8</v>
      </c>
      <c r="R12" s="12">
        <v>0.75</v>
      </c>
      <c r="S12" s="12">
        <v>0.875</v>
      </c>
      <c r="T12" s="11">
        <v>4</v>
      </c>
      <c r="U12" s="12">
        <v>0.5</v>
      </c>
      <c r="V12" s="12">
        <v>0.5</v>
      </c>
    </row>
    <row r="13" spans="1:22">
      <c r="A13" s="10" t="s">
        <v>25</v>
      </c>
      <c r="B13" s="10">
        <v>6</v>
      </c>
      <c r="C13" s="13">
        <v>1</v>
      </c>
      <c r="D13" s="13">
        <v>1</v>
      </c>
      <c r="E13" s="10">
        <v>10</v>
      </c>
      <c r="F13" s="13">
        <v>1</v>
      </c>
      <c r="G13" s="13">
        <v>1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  <c r="Q13" s="10">
        <v>0</v>
      </c>
      <c r="R13" s="13">
        <v>0</v>
      </c>
      <c r="S13" s="13">
        <v>0</v>
      </c>
      <c r="T13" s="10">
        <v>1</v>
      </c>
      <c r="U13" s="13">
        <v>1</v>
      </c>
      <c r="V13" s="13">
        <v>1</v>
      </c>
    </row>
    <row r="14" spans="1:22">
      <c r="A14" s="10" t="s">
        <v>26</v>
      </c>
      <c r="B14" s="11">
        <v>150</v>
      </c>
      <c r="C14" s="12">
        <v>0.9</v>
      </c>
      <c r="D14" s="12">
        <v>0.9733333</v>
      </c>
      <c r="E14" s="11">
        <v>195</v>
      </c>
      <c r="F14" s="12">
        <v>0.8051282</v>
      </c>
      <c r="G14" s="12">
        <v>0.8666667</v>
      </c>
      <c r="H14" s="11">
        <v>23</v>
      </c>
      <c r="I14" s="12">
        <v>0.8695652</v>
      </c>
      <c r="J14" s="12">
        <v>0.8695652</v>
      </c>
      <c r="K14" s="11">
        <v>15</v>
      </c>
      <c r="L14" s="12">
        <v>0.8</v>
      </c>
      <c r="M14" s="12">
        <v>0.9333333</v>
      </c>
      <c r="N14" s="11">
        <v>9</v>
      </c>
      <c r="O14" s="12">
        <v>0.8888889</v>
      </c>
      <c r="P14" s="12">
        <v>0.8888889</v>
      </c>
      <c r="Q14" s="11">
        <v>8</v>
      </c>
      <c r="R14" s="12">
        <v>0.75</v>
      </c>
      <c r="S14" s="12">
        <v>0.875</v>
      </c>
      <c r="T14" s="11">
        <v>6</v>
      </c>
      <c r="U14" s="12">
        <v>0.8333333</v>
      </c>
      <c r="V14" s="12">
        <v>0.8333333</v>
      </c>
    </row>
    <row r="15" spans="1:22">
      <c r="A15" s="10" t="s">
        <v>27</v>
      </c>
      <c r="B15" s="10">
        <v>12</v>
      </c>
      <c r="C15" s="13">
        <v>0.9166667</v>
      </c>
      <c r="D15" s="13">
        <v>0.9166667</v>
      </c>
      <c r="E15" s="10">
        <v>4</v>
      </c>
      <c r="F15" s="13">
        <v>0.75</v>
      </c>
      <c r="G15" s="13">
        <v>0.75</v>
      </c>
      <c r="H15" s="10">
        <v>4</v>
      </c>
      <c r="I15" s="13">
        <v>0.75</v>
      </c>
      <c r="J15" s="13">
        <v>1</v>
      </c>
      <c r="K15" s="10">
        <v>0</v>
      </c>
      <c r="L15" s="13">
        <v>0</v>
      </c>
      <c r="M15" s="13">
        <v>0</v>
      </c>
      <c r="N15" s="10">
        <v>1</v>
      </c>
      <c r="O15" s="13">
        <v>1</v>
      </c>
      <c r="P15" s="13">
        <v>1</v>
      </c>
      <c r="Q15" s="10">
        <v>0</v>
      </c>
      <c r="R15" s="13">
        <v>0</v>
      </c>
      <c r="S15" s="13">
        <v>0</v>
      </c>
      <c r="T15" s="10">
        <v>0</v>
      </c>
      <c r="U15" s="13">
        <v>0</v>
      </c>
      <c r="V15" s="13">
        <v>0</v>
      </c>
    </row>
    <row r="16" spans="1:22">
      <c r="A16" s="10" t="s">
        <v>28</v>
      </c>
      <c r="B16" s="11">
        <v>128</v>
      </c>
      <c r="C16" s="12">
        <v>0.8203125</v>
      </c>
      <c r="D16" s="12">
        <v>0.8984375</v>
      </c>
      <c r="E16" s="11">
        <v>171</v>
      </c>
      <c r="F16" s="12">
        <v>0.8596491</v>
      </c>
      <c r="G16" s="12">
        <v>0.9473684</v>
      </c>
      <c r="H16" s="11">
        <v>29</v>
      </c>
      <c r="I16" s="12">
        <v>0.7931034</v>
      </c>
      <c r="J16" s="12">
        <v>0.862069</v>
      </c>
      <c r="K16" s="11">
        <v>10</v>
      </c>
      <c r="L16" s="12">
        <v>0.7</v>
      </c>
      <c r="M16" s="12">
        <v>0.8</v>
      </c>
      <c r="N16" s="11">
        <v>6</v>
      </c>
      <c r="O16" s="12">
        <v>1</v>
      </c>
      <c r="P16" s="12">
        <v>1</v>
      </c>
      <c r="Q16" s="11">
        <v>6</v>
      </c>
      <c r="R16" s="12">
        <v>1</v>
      </c>
      <c r="S16" s="12">
        <v>1</v>
      </c>
      <c r="T16" s="11">
        <v>5</v>
      </c>
      <c r="U16" s="12">
        <v>0.8</v>
      </c>
      <c r="V16" s="12">
        <v>1</v>
      </c>
    </row>
    <row r="17" spans="1:22">
      <c r="A17" s="10" t="s">
        <v>29</v>
      </c>
      <c r="B17" s="10">
        <v>21</v>
      </c>
      <c r="C17" s="13">
        <v>1</v>
      </c>
      <c r="D17" s="13">
        <v>1</v>
      </c>
      <c r="E17" s="10">
        <v>15</v>
      </c>
      <c r="F17" s="13">
        <v>1</v>
      </c>
      <c r="G17" s="13">
        <v>1</v>
      </c>
      <c r="H17" s="10">
        <v>4</v>
      </c>
      <c r="I17" s="13">
        <v>1</v>
      </c>
      <c r="J17" s="13">
        <v>1</v>
      </c>
      <c r="K17" s="10">
        <v>1</v>
      </c>
      <c r="L17" s="13">
        <v>1</v>
      </c>
      <c r="M17" s="13">
        <v>1</v>
      </c>
      <c r="N17" s="10">
        <v>2</v>
      </c>
      <c r="O17" s="13">
        <v>1</v>
      </c>
      <c r="P17" s="13">
        <v>1</v>
      </c>
      <c r="Q17" s="10">
        <v>2</v>
      </c>
      <c r="R17" s="13">
        <v>1</v>
      </c>
      <c r="S17" s="13">
        <v>1</v>
      </c>
      <c r="T17" s="10">
        <v>0</v>
      </c>
      <c r="U17" s="13">
        <v>0</v>
      </c>
      <c r="V17" s="13">
        <v>0</v>
      </c>
    </row>
    <row r="18" spans="1:22">
      <c r="A18" s="14" t="s">
        <v>86</v>
      </c>
      <c r="B18" s="15" t="str">
        <f>SUM(B6:B17)</f>
        <v>0</v>
      </c>
      <c r="C18" s="16" t="str">
        <f>IF(B18=0, "", ((B6*C6)+(B7*C7)+(B8*C8)+(B9*C9)+(B10*C10)+(B11*C11)+(B12*C12)+(B13*C13)+(B14*C14)+(B15*C15)+(B16*C16)+(B17*C17))/B18)</f>
        <v>0</v>
      </c>
      <c r="D18" s="16" t="str">
        <f>IF(B18=0, "",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"", ((E6*F6)+(E7*F7)+(E8*F8)+(E9*F9)+(E10*F10)+(E11*F11)+(E12*F12)+(E13*F13)+(E14*F14)+(E15*F15)+(E16*F16)+(E17*F17))/E18)</f>
        <v>0</v>
      </c>
      <c r="G18" s="16" t="str">
        <f>IF(E18=0, "",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"", ((H6*I6)+(H7*I7)+(H8*I8)+(H9*I9)+(H10*I10)+(H11*I11)+(H12*I12)+(H13*I13)+(H14*I14)+(H15*I15)+(H16*I16)+(H17*I17))/H18)</f>
        <v>0</v>
      </c>
      <c r="J18" s="16" t="str">
        <f>IF(H18=0, "",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"", ((K6*L6)+(K7*L7)+(K8*L8)+(K9*L9)+(K10*L10)+(K11*L11)+(K12*L12)+(K13*L13)+(K14*L14)+(K15*L15)+(K16*L16)+(K17*L17))/K18)</f>
        <v>0</v>
      </c>
      <c r="M18" s="16" t="str">
        <f>IF(K18=0, "",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"", ((N6*O6)+(N7*O7)+(N8*O8)+(N9*O9)+(N10*O10)+(N11*O11)+(N12*O12)+(N13*O13)+(N14*O14)+(N15*O15)+(N16*O16)+(N17*O17))/N18)</f>
        <v>0</v>
      </c>
      <c r="P18" s="16" t="str">
        <f>IF(N18=0, "", ((N6*P6)+(N7*P7)+(N8*P8)+(N9*P9)+(N10*P10)+(N11*P11)+(N12*P12)+(N13*P13)+(N14*P14)+(N15*P15)+(N16*P16)+(N17*P17))/N18)</f>
        <v>0</v>
      </c>
      <c r="Q18" s="15" t="str">
        <f>SUM(Q6:Q17)</f>
        <v>0</v>
      </c>
      <c r="R18" s="16" t="str">
        <f>IF(Q18=0, "", ((Q6*R6)+(Q7*R7)+(Q8*R8)+(Q9*R9)+(Q10*R10)+(Q11*R11)+(Q12*R12)+(Q13*R13)+(Q14*R14)+(Q15*R15)+(Q16*R16)+(Q17*R17))/Q18)</f>
        <v>0</v>
      </c>
      <c r="S18" s="16" t="str">
        <f>IF(Q18=0, "", ((Q6*S6)+(Q7*S7)+(Q8*S8)+(Q9*S9)+(Q10*S10)+(Q11*S11)+(Q12*S12)+(Q13*S13)+(Q14*S14)+(Q15*S15)+(Q16*S16)+(Q17*S17))/Q18)</f>
        <v>0</v>
      </c>
      <c r="T18" s="15" t="str">
        <f>SUM(T6:T17)</f>
        <v>0</v>
      </c>
      <c r="U18" s="16" t="str">
        <f>IF(T18=0, "", ((T6*U6)+(T7*U7)+(T8*U8)+(T9*U9)+(T10*U10)+(T11*U11)+(T12*U12)+(T13*U13)+(T14*U14)+(T15*U15)+(T16*U16)+(T17*U17))/T18)</f>
        <v>0</v>
      </c>
      <c r="V18" s="16" t="str">
        <f>IF(T18=0, "", ((T6*V6)+(T7*V7)+(T8*V8)+(T9*V9)+(T10*V10)+(T11*V11)+(T12*V12)+(T13*V13)+(T14*V14)+(T15*V15)+(T16*V16)+(T17*V17))/T18)</f>
        <v>0</v>
      </c>
    </row>
    <row r="20" spans="1:22">
      <c r="B20" s="9" t="s">
        <v>90</v>
      </c>
      <c r="C20" s="9"/>
      <c r="D20" s="9"/>
      <c r="E20" s="9" t="s">
        <v>91</v>
      </c>
      <c r="F20" s="9"/>
      <c r="G20" s="9"/>
      <c r="H20" s="9" t="s">
        <v>92</v>
      </c>
      <c r="I20" s="9"/>
      <c r="J20" s="9"/>
      <c r="K20" s="9" t="s">
        <v>93</v>
      </c>
      <c r="L20" s="9"/>
      <c r="M20" s="9"/>
      <c r="N20" s="9" t="s">
        <v>94</v>
      </c>
      <c r="O20" s="9"/>
      <c r="P20" s="9"/>
      <c r="Q20" s="9" t="s">
        <v>95</v>
      </c>
      <c r="R20" s="9"/>
      <c r="S20" s="9"/>
      <c r="T20" s="9" t="s">
        <v>96</v>
      </c>
      <c r="U20" s="9"/>
      <c r="V20" s="9"/>
    </row>
    <row r="21" spans="1:22">
      <c r="A21" s="9" t="s">
        <v>31</v>
      </c>
      <c r="B21" s="9" t="s">
        <v>83</v>
      </c>
      <c r="C21" s="9" t="s">
        <v>84</v>
      </c>
      <c r="D21" s="9" t="s">
        <v>85</v>
      </c>
      <c r="E21" s="9" t="s">
        <v>83</v>
      </c>
      <c r="F21" s="9" t="s">
        <v>84</v>
      </c>
      <c r="G21" s="9" t="s">
        <v>85</v>
      </c>
      <c r="H21" s="9" t="s">
        <v>83</v>
      </c>
      <c r="I21" s="9" t="s">
        <v>84</v>
      </c>
      <c r="J21" s="9" t="s">
        <v>85</v>
      </c>
      <c r="K21" s="9" t="s">
        <v>83</v>
      </c>
      <c r="L21" s="9" t="s">
        <v>84</v>
      </c>
      <c r="M21" s="9" t="s">
        <v>85</v>
      </c>
      <c r="N21" s="9" t="s">
        <v>83</v>
      </c>
      <c r="O21" s="9" t="s">
        <v>84</v>
      </c>
      <c r="P21" s="9" t="s">
        <v>85</v>
      </c>
      <c r="Q21" s="9" t="s">
        <v>83</v>
      </c>
      <c r="R21" s="9" t="s">
        <v>84</v>
      </c>
      <c r="S21" s="9" t="s">
        <v>85</v>
      </c>
      <c r="T21" s="9" t="s">
        <v>83</v>
      </c>
      <c r="U21" s="9" t="s">
        <v>84</v>
      </c>
      <c r="V21" s="9" t="s">
        <v>85</v>
      </c>
    </row>
    <row r="22" spans="1:22">
      <c r="A22" s="10" t="s">
        <v>57</v>
      </c>
      <c r="B22" s="11">
        <v>277</v>
      </c>
      <c r="C22" s="12">
        <v>0.8880866</v>
      </c>
      <c r="D22" s="12">
        <v>0.9386282</v>
      </c>
      <c r="E22" s="11">
        <v>368</v>
      </c>
      <c r="F22" s="12">
        <v>0.8342391</v>
      </c>
      <c r="G22" s="12">
        <v>0.8695652</v>
      </c>
      <c r="H22" s="11">
        <v>52</v>
      </c>
      <c r="I22" s="12">
        <v>0.6730769</v>
      </c>
      <c r="J22" s="12">
        <v>0.7115385</v>
      </c>
      <c r="K22" s="11">
        <v>16</v>
      </c>
      <c r="L22" s="12">
        <v>0.8125</v>
      </c>
      <c r="M22" s="12">
        <v>0.9375</v>
      </c>
      <c r="N22" s="11">
        <v>16</v>
      </c>
      <c r="O22" s="12">
        <v>0.875</v>
      </c>
      <c r="P22" s="12">
        <v>0.875</v>
      </c>
      <c r="Q22" s="11">
        <v>12</v>
      </c>
      <c r="R22" s="12">
        <v>0.8333333</v>
      </c>
      <c r="S22" s="12">
        <v>0.8333333</v>
      </c>
      <c r="T22" s="11">
        <v>7</v>
      </c>
      <c r="U22" s="12">
        <v>0.5714286</v>
      </c>
      <c r="V22" s="12">
        <v>0.7142857</v>
      </c>
    </row>
    <row r="23" spans="1:22">
      <c r="A23" s="10" t="s">
        <v>58</v>
      </c>
      <c r="B23" s="10">
        <v>272</v>
      </c>
      <c r="C23" s="13">
        <v>0.8933824</v>
      </c>
      <c r="D23" s="13">
        <v>0.9375</v>
      </c>
      <c r="E23" s="10">
        <v>382</v>
      </c>
      <c r="F23" s="13">
        <v>0.8560209</v>
      </c>
      <c r="G23" s="13">
        <v>0.9188482</v>
      </c>
      <c r="H23" s="10">
        <v>51</v>
      </c>
      <c r="I23" s="13">
        <v>0.745098</v>
      </c>
      <c r="J23" s="13">
        <v>0.8431373</v>
      </c>
      <c r="K23" s="10">
        <v>29</v>
      </c>
      <c r="L23" s="13">
        <v>0.862069</v>
      </c>
      <c r="M23" s="13">
        <v>0.9310345</v>
      </c>
      <c r="N23" s="10">
        <v>15</v>
      </c>
      <c r="O23" s="13">
        <v>0.6666667</v>
      </c>
      <c r="P23" s="13">
        <v>0.8</v>
      </c>
      <c r="Q23" s="10">
        <v>15</v>
      </c>
      <c r="R23" s="13">
        <v>0.7333333</v>
      </c>
      <c r="S23" s="13">
        <v>0.8</v>
      </c>
      <c r="T23" s="10">
        <v>9</v>
      </c>
      <c r="U23" s="13">
        <v>0.6666667</v>
      </c>
      <c r="V23" s="13">
        <v>0.6666667</v>
      </c>
    </row>
    <row r="24" spans="1:22">
      <c r="A24" s="10" t="s">
        <v>1</v>
      </c>
      <c r="B24" s="11">
        <v>311</v>
      </c>
      <c r="C24" s="12">
        <v>0.8745981</v>
      </c>
      <c r="D24" s="12">
        <v>0.9421222</v>
      </c>
      <c r="E24" s="11">
        <v>385</v>
      </c>
      <c r="F24" s="12">
        <v>0.8363636</v>
      </c>
      <c r="G24" s="12">
        <v>0.9064935</v>
      </c>
      <c r="H24" s="11">
        <v>60</v>
      </c>
      <c r="I24" s="12">
        <v>0.8333333</v>
      </c>
      <c r="J24" s="12">
        <v>0.8833333</v>
      </c>
      <c r="K24" s="11">
        <v>26</v>
      </c>
      <c r="L24" s="12">
        <v>0.7692308</v>
      </c>
      <c r="M24" s="12">
        <v>0.8846154</v>
      </c>
      <c r="N24" s="11">
        <v>18</v>
      </c>
      <c r="O24" s="12">
        <v>0.9444444</v>
      </c>
      <c r="P24" s="12">
        <v>0.9444444</v>
      </c>
      <c r="Q24" s="11">
        <v>16</v>
      </c>
      <c r="R24" s="12">
        <v>0.875</v>
      </c>
      <c r="S24" s="12">
        <v>0.9375</v>
      </c>
      <c r="T24" s="11">
        <v>11</v>
      </c>
      <c r="U24" s="12">
        <v>0.8181818</v>
      </c>
      <c r="V24" s="12">
        <v>0.9090909</v>
      </c>
    </row>
    <row r="25" spans="1:22">
      <c r="A25" s="14" t="s">
        <v>86</v>
      </c>
      <c r="B25" s="15" t="str">
        <f>SUM(B22:B24)</f>
        <v>0</v>
      </c>
      <c r="C25" s="16" t="str">
        <f>IF(B25=0, "", ((B22*C22)+(B23*C23)+(B24*C24))/B25)</f>
        <v>0</v>
      </c>
      <c r="D25" s="16" t="str">
        <f>IF(B25=0, "", ((B22*D22)+(B23*D23)+(B24*D24))/B25)</f>
        <v>0</v>
      </c>
      <c r="E25" s="15" t="str">
        <f>SUM(E22:E24)</f>
        <v>0</v>
      </c>
      <c r="F25" s="16" t="str">
        <f>IF(E25=0, "", ((E22*F22)+(E23*F23)+(E24*F24))/E25)</f>
        <v>0</v>
      </c>
      <c r="G25" s="16" t="str">
        <f>IF(E25=0, "", ((E22*G22)+(E23*G23)+(E24*G24))/E25)</f>
        <v>0</v>
      </c>
      <c r="H25" s="15" t="str">
        <f>SUM(H22:H24)</f>
        <v>0</v>
      </c>
      <c r="I25" s="16" t="str">
        <f>IF(H25=0, "", ((H22*I22)+(H23*I23)+(H24*I24))/H25)</f>
        <v>0</v>
      </c>
      <c r="J25" s="16" t="str">
        <f>IF(H25=0, "", ((H22*J22)+(H23*J23)+(H24*J24))/H25)</f>
        <v>0</v>
      </c>
      <c r="K25" s="15" t="str">
        <f>SUM(K22:K24)</f>
        <v>0</v>
      </c>
      <c r="L25" s="16" t="str">
        <f>IF(K25=0, "", ((K22*L22)+(K23*L23)+(K24*L24))/K25)</f>
        <v>0</v>
      </c>
      <c r="M25" s="16" t="str">
        <f>IF(K25=0, "", ((K22*M22)+(K23*M23)+(K24*M24))/K25)</f>
        <v>0</v>
      </c>
      <c r="N25" s="15" t="str">
        <f>SUM(N22:N24)</f>
        <v>0</v>
      </c>
      <c r="O25" s="16" t="str">
        <f>IF(N25=0, "", ((N22*O22)+(N23*O23)+(N24*O24))/N25)</f>
        <v>0</v>
      </c>
      <c r="P25" s="16" t="str">
        <f>IF(N25=0, "", ((N22*P22)+(N23*P23)+(N24*P24))/N25)</f>
        <v>0</v>
      </c>
      <c r="Q25" s="15" t="str">
        <f>SUM(Q22:Q24)</f>
        <v>0</v>
      </c>
      <c r="R25" s="16" t="str">
        <f>IF(Q25=0, "", ((Q22*R22)+(Q23*R23)+(Q24*R24))/Q25)</f>
        <v>0</v>
      </c>
      <c r="S25" s="16" t="str">
        <f>IF(Q25=0, "", ((Q22*S22)+(Q23*S23)+(Q24*S24))/Q25)</f>
        <v>0</v>
      </c>
      <c r="T25" s="15" t="str">
        <f>SUM(T22:T24)</f>
        <v>0</v>
      </c>
      <c r="U25" s="16" t="str">
        <f>IF(T25=0, "", ((T22*U22)+(T23*U23)+(T24*U24))/T25)</f>
        <v>0</v>
      </c>
      <c r="V25" s="16" t="str">
        <f>IF(T25=0, "", ((T22*V22)+(T23*V23)+(T24*V24))/T25)</f>
        <v>0</v>
      </c>
    </row>
    <row r="28" spans="1:22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30" spans="1:22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>
      <c r="A32" s="17" t="s">
        <v>72</v>
      </c>
      <c r="B32" s="18"/>
      <c r="C32" t="s">
        <v>87</v>
      </c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>
      <c r="A33" s="17" t="s">
        <v>74</v>
      </c>
      <c r="B33" s="18"/>
      <c r="C33" t="s">
        <v>75</v>
      </c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  <mergeCell ref="B20:D20"/>
    <mergeCell ref="E20:G20"/>
    <mergeCell ref="H20:J20"/>
    <mergeCell ref="K20:M20"/>
    <mergeCell ref="N20:P20"/>
    <mergeCell ref="Q20:S20"/>
    <mergeCell ref="T20:V20"/>
    <mergeCell ref="A28:V28"/>
    <mergeCell ref="A30:B30"/>
    <mergeCell ref="C30:V30"/>
    <mergeCell ref="A31:B31"/>
    <mergeCell ref="C31:V31"/>
    <mergeCell ref="A32:B32"/>
    <mergeCell ref="C32:V32"/>
    <mergeCell ref="A33:B33"/>
    <mergeCell ref="C33:V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7" customWidth="true" style="0"/>
    <col min="4" max="4" width="17" customWidth="true" style="0"/>
    <col min="5" max="5" width="6" customWidth="true" style="0"/>
    <col min="6" max="6" width="17" customWidth="true" style="0"/>
    <col min="7" max="7" width="17" customWidth="true" style="0"/>
    <col min="8" max="8" width="6" customWidth="true" style="0"/>
    <col min="9" max="9" width="17" customWidth="true" style="0"/>
    <col min="10" max="10" width="17" customWidth="true" style="0"/>
  </cols>
  <sheetData>
    <row r="1" spans="1:10">
      <c r="A1" s="6" t="s">
        <v>97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98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99</v>
      </c>
      <c r="C4" s="9"/>
      <c r="D4" s="9"/>
      <c r="E4" s="9" t="s">
        <v>100</v>
      </c>
      <c r="F4" s="9"/>
      <c r="G4" s="9"/>
      <c r="H4" s="9" t="s">
        <v>101</v>
      </c>
      <c r="I4" s="9"/>
      <c r="J4" s="9"/>
    </row>
    <row r="5" spans="1:10">
      <c r="A5" s="9" t="s">
        <v>13</v>
      </c>
      <c r="B5" s="9" t="s">
        <v>83</v>
      </c>
      <c r="C5" s="9" t="s">
        <v>84</v>
      </c>
      <c r="D5" s="9" t="s">
        <v>85</v>
      </c>
      <c r="E5" s="9" t="s">
        <v>83</v>
      </c>
      <c r="F5" s="9" t="s">
        <v>84</v>
      </c>
      <c r="G5" s="9" t="s">
        <v>85</v>
      </c>
      <c r="H5" s="9" t="s">
        <v>83</v>
      </c>
      <c r="I5" s="9" t="s">
        <v>84</v>
      </c>
      <c r="J5" s="9" t="s">
        <v>85</v>
      </c>
    </row>
    <row r="6" spans="1:10">
      <c r="A6" s="10" t="s">
        <v>18</v>
      </c>
      <c r="B6" s="11">
        <v>235</v>
      </c>
      <c r="C6" s="12">
        <v>0.7957447</v>
      </c>
      <c r="D6" s="12">
        <v>0.8382979</v>
      </c>
      <c r="E6" s="11">
        <v>89</v>
      </c>
      <c r="F6" s="12">
        <v>0.8089888</v>
      </c>
      <c r="G6" s="12">
        <v>0.8539326</v>
      </c>
      <c r="H6" s="11">
        <v>1</v>
      </c>
      <c r="I6" s="12">
        <v>1</v>
      </c>
      <c r="J6" s="12">
        <v>1</v>
      </c>
    </row>
    <row r="7" spans="1:10">
      <c r="A7" s="10" t="s">
        <v>19</v>
      </c>
      <c r="B7" s="10">
        <v>14</v>
      </c>
      <c r="C7" s="13">
        <v>1</v>
      </c>
      <c r="D7" s="13">
        <v>1</v>
      </c>
      <c r="E7" s="10">
        <v>5</v>
      </c>
      <c r="F7" s="13">
        <v>1</v>
      </c>
      <c r="G7" s="13">
        <v>1</v>
      </c>
      <c r="H7" s="10">
        <v>0</v>
      </c>
      <c r="I7" s="13">
        <v>0</v>
      </c>
      <c r="J7" s="13">
        <v>0</v>
      </c>
    </row>
    <row r="8" spans="1:10">
      <c r="A8" s="10" t="s">
        <v>20</v>
      </c>
      <c r="B8" s="11">
        <v>246</v>
      </c>
      <c r="C8" s="12">
        <v>0.8658537</v>
      </c>
      <c r="D8" s="12">
        <v>0.9146341</v>
      </c>
      <c r="E8" s="11">
        <v>98</v>
      </c>
      <c r="F8" s="12">
        <v>0.8163265</v>
      </c>
      <c r="G8" s="12">
        <v>0.8673469</v>
      </c>
      <c r="H8" s="11">
        <v>0</v>
      </c>
      <c r="I8" s="12">
        <v>0</v>
      </c>
      <c r="J8" s="12">
        <v>0</v>
      </c>
    </row>
    <row r="9" spans="1:10">
      <c r="A9" s="10" t="s">
        <v>21</v>
      </c>
      <c r="B9" s="10">
        <v>45</v>
      </c>
      <c r="C9" s="13">
        <v>0.9333333</v>
      </c>
      <c r="D9" s="13">
        <v>0.9555556</v>
      </c>
      <c r="E9" s="10">
        <v>15</v>
      </c>
      <c r="F9" s="13">
        <v>1</v>
      </c>
      <c r="G9" s="13">
        <v>1</v>
      </c>
      <c r="H9" s="10">
        <v>0</v>
      </c>
      <c r="I9" s="13">
        <v>0</v>
      </c>
      <c r="J9" s="13">
        <v>0</v>
      </c>
    </row>
    <row r="10" spans="1:10">
      <c r="A10" s="10" t="s">
        <v>22</v>
      </c>
      <c r="B10" s="11">
        <v>250</v>
      </c>
      <c r="C10" s="12">
        <v>0.88</v>
      </c>
      <c r="D10" s="12">
        <v>0.928</v>
      </c>
      <c r="E10" s="11">
        <v>120</v>
      </c>
      <c r="F10" s="12">
        <v>0.8583333</v>
      </c>
      <c r="G10" s="12">
        <v>0.9166667</v>
      </c>
      <c r="H10" s="11">
        <v>1</v>
      </c>
      <c r="I10" s="12">
        <v>1</v>
      </c>
      <c r="J10" s="12">
        <v>1</v>
      </c>
    </row>
    <row r="11" spans="1:10">
      <c r="A11" s="10" t="s">
        <v>23</v>
      </c>
      <c r="B11" s="10">
        <v>5</v>
      </c>
      <c r="C11" s="13">
        <v>1</v>
      </c>
      <c r="D11" s="13">
        <v>1</v>
      </c>
      <c r="E11" s="10">
        <v>9</v>
      </c>
      <c r="F11" s="13">
        <v>1</v>
      </c>
      <c r="G11" s="13">
        <v>1</v>
      </c>
      <c r="H11" s="10">
        <v>0</v>
      </c>
      <c r="I11" s="13">
        <v>0</v>
      </c>
      <c r="J11" s="13">
        <v>0</v>
      </c>
    </row>
    <row r="12" spans="1:10">
      <c r="A12" s="10" t="s">
        <v>24</v>
      </c>
      <c r="B12" s="11">
        <v>272</v>
      </c>
      <c r="C12" s="12">
        <v>0.8235294</v>
      </c>
      <c r="D12" s="12">
        <v>0.8933824</v>
      </c>
      <c r="E12" s="11">
        <v>96</v>
      </c>
      <c r="F12" s="12">
        <v>0.8229167</v>
      </c>
      <c r="G12" s="12">
        <v>0.90625</v>
      </c>
      <c r="H12" s="11">
        <v>3</v>
      </c>
      <c r="I12" s="12">
        <v>0.6666667</v>
      </c>
      <c r="J12" s="12">
        <v>0.6666667</v>
      </c>
    </row>
    <row r="13" spans="1:10">
      <c r="A13" s="10" t="s">
        <v>25</v>
      </c>
      <c r="B13" s="10">
        <v>11</v>
      </c>
      <c r="C13" s="13">
        <v>1</v>
      </c>
      <c r="D13" s="13">
        <v>1</v>
      </c>
      <c r="E13" s="10">
        <v>6</v>
      </c>
      <c r="F13" s="13">
        <v>1</v>
      </c>
      <c r="G13" s="13">
        <v>1</v>
      </c>
      <c r="H13" s="10">
        <v>0</v>
      </c>
      <c r="I13" s="13">
        <v>0</v>
      </c>
      <c r="J13" s="13">
        <v>0</v>
      </c>
    </row>
    <row r="14" spans="1:10">
      <c r="A14" s="10" t="s">
        <v>26</v>
      </c>
      <c r="B14" s="11">
        <v>276</v>
      </c>
      <c r="C14" s="12">
        <v>0.8405797</v>
      </c>
      <c r="D14" s="12">
        <v>0.8913043</v>
      </c>
      <c r="E14" s="11">
        <v>126</v>
      </c>
      <c r="F14" s="12">
        <v>0.8492063</v>
      </c>
      <c r="G14" s="12">
        <v>0.9444444</v>
      </c>
      <c r="H14" s="11">
        <v>4</v>
      </c>
      <c r="I14" s="12">
        <v>1</v>
      </c>
      <c r="J14" s="12">
        <v>1</v>
      </c>
    </row>
    <row r="15" spans="1:10">
      <c r="A15" s="10" t="s">
        <v>27</v>
      </c>
      <c r="B15" s="10">
        <v>11</v>
      </c>
      <c r="C15" s="13">
        <v>0.8181818</v>
      </c>
      <c r="D15" s="13">
        <v>0.9090909</v>
      </c>
      <c r="E15" s="10">
        <v>10</v>
      </c>
      <c r="F15" s="13">
        <v>0.9</v>
      </c>
      <c r="G15" s="13">
        <v>0.9</v>
      </c>
      <c r="H15" s="10">
        <v>0</v>
      </c>
      <c r="I15" s="13">
        <v>0</v>
      </c>
      <c r="J15" s="13">
        <v>0</v>
      </c>
    </row>
    <row r="16" spans="1:10">
      <c r="A16" s="10" t="s">
        <v>28</v>
      </c>
      <c r="B16" s="11">
        <v>218</v>
      </c>
      <c r="C16" s="12">
        <v>0.8577982</v>
      </c>
      <c r="D16" s="12">
        <v>0.9311927</v>
      </c>
      <c r="E16" s="11">
        <v>133</v>
      </c>
      <c r="F16" s="12">
        <v>0.8120301</v>
      </c>
      <c r="G16" s="12">
        <v>0.9097744</v>
      </c>
      <c r="H16" s="11">
        <v>4</v>
      </c>
      <c r="I16" s="12">
        <v>0.75</v>
      </c>
      <c r="J16" s="12">
        <v>0.75</v>
      </c>
    </row>
    <row r="17" spans="1:10">
      <c r="A17" s="10" t="s">
        <v>29</v>
      </c>
      <c r="B17" s="10">
        <v>38</v>
      </c>
      <c r="C17" s="13">
        <v>1</v>
      </c>
      <c r="D17" s="13">
        <v>1</v>
      </c>
      <c r="E17" s="10">
        <v>6</v>
      </c>
      <c r="F17" s="13">
        <v>1</v>
      </c>
      <c r="G17" s="13">
        <v>1</v>
      </c>
      <c r="H17" s="10">
        <v>1</v>
      </c>
      <c r="I17" s="13">
        <v>1</v>
      </c>
      <c r="J17" s="13">
        <v>1</v>
      </c>
    </row>
    <row r="18" spans="1:10">
      <c r="A18" s="14" t="s">
        <v>86</v>
      </c>
      <c r="B18" s="15" t="str">
        <f>SUM(B6:B17)</f>
        <v>0</v>
      </c>
      <c r="C18" s="16" t="str">
        <f>((B6*C6)+(B7*C7)+(B8*C8)+(B9*C9)+(B10*C10)+(B11*C11)+(B12*C12)+(B13*C13)+(B14*C14)+(B15*C15)+(B16*C16)+(B17*C17))/B18</f>
        <v>0</v>
      </c>
      <c r="D18" s="16" t="str">
        <f>((B6*D6)+(B7*D7)+(B8*D8)+(B9*D9)+(B10*D10)+(B11*D11)+(B12*D12)+(B13*D13)+(B14*D14)+(B15*D15)+(B16*D16)+(B17*D17))/B18</f>
        <v>0</v>
      </c>
      <c r="E18" s="15" t="str">
        <f>SUM(E6:E17)</f>
        <v>0</v>
      </c>
      <c r="F18" s="16" t="str">
        <f>((E6*F6)+(E7*F7)+(E8*F8)+(E9*F9)+(E10*F10)+(E11*F11)+(E12*F12)+(E13*F13)+(E14*F14)+(E15*F15)+(E16*F16)+(E17*F17))/E18</f>
        <v>0</v>
      </c>
      <c r="G18" s="16" t="str">
        <f>((E6*G6)+(E7*G7)+(E8*G8)+(E9*G9)+(E10*G10)+(E11*G11)+(E12*G12)+(E13*G13)+(E14*G14)+(E15*G15)+(E16*G16)+(E17*G17))/E18</f>
        <v>0</v>
      </c>
      <c r="H18" s="15" t="str">
        <f>SUM(H6:H17)</f>
        <v>0</v>
      </c>
      <c r="I18" s="16" t="str">
        <f>((H6*I6)+(H7*I7)+(H8*I8)+(H9*I9)+(H10*I10)+(H11*I11)+(H12*I12)+(H13*I13)+(H14*I14)+(H15*I15)+(H16*I16)+(H17*I17))/H18</f>
        <v>0</v>
      </c>
      <c r="J18" s="16" t="str">
        <f>((H6*J6)+(H7*J7)+(H8*J8)+(H9*J9)+(H10*J10)+(H11*J11)+(H12*J12)+(H13*J13)+(H14*J14)+(H15*J15)+(H16*J16)+(H17*J17))/H18</f>
        <v>0</v>
      </c>
    </row>
    <row r="20" spans="1:10">
      <c r="B20" s="9" t="s">
        <v>99</v>
      </c>
      <c r="C20" s="9"/>
      <c r="D20" s="9"/>
      <c r="E20" s="9" t="s">
        <v>100</v>
      </c>
      <c r="F20" s="9"/>
      <c r="G20" s="9"/>
      <c r="H20" s="9" t="s">
        <v>101</v>
      </c>
      <c r="I20" s="9"/>
      <c r="J20" s="9"/>
    </row>
    <row r="21" spans="1:10">
      <c r="A21" s="9" t="s">
        <v>31</v>
      </c>
      <c r="B21" s="9" t="s">
        <v>83</v>
      </c>
      <c r="C21" s="9" t="s">
        <v>84</v>
      </c>
      <c r="D21" s="9" t="s">
        <v>85</v>
      </c>
      <c r="E21" s="9" t="s">
        <v>83</v>
      </c>
      <c r="F21" s="9" t="s">
        <v>84</v>
      </c>
      <c r="G21" s="9" t="s">
        <v>85</v>
      </c>
      <c r="H21" s="9" t="s">
        <v>83</v>
      </c>
      <c r="I21" s="9" t="s">
        <v>84</v>
      </c>
      <c r="J21" s="9" t="s">
        <v>85</v>
      </c>
    </row>
    <row r="22" spans="1:10">
      <c r="A22" s="10" t="s">
        <v>57</v>
      </c>
      <c r="B22" s="11">
        <v>540</v>
      </c>
      <c r="C22" s="12">
        <v>0.8444444</v>
      </c>
      <c r="D22" s="12">
        <v>0.887037</v>
      </c>
      <c r="E22" s="11">
        <v>207</v>
      </c>
      <c r="F22" s="12">
        <v>0.8309179</v>
      </c>
      <c r="G22" s="12">
        <v>0.8743961</v>
      </c>
      <c r="H22" s="11">
        <v>1</v>
      </c>
      <c r="I22" s="12">
        <v>1</v>
      </c>
      <c r="J22" s="12">
        <v>1</v>
      </c>
    </row>
    <row r="23" spans="1:10">
      <c r="A23" s="10" t="s">
        <v>58</v>
      </c>
      <c r="B23" s="10">
        <v>538</v>
      </c>
      <c r="C23" s="13">
        <v>0.8550186</v>
      </c>
      <c r="D23" s="13">
        <v>0.9126394</v>
      </c>
      <c r="E23" s="10">
        <v>231</v>
      </c>
      <c r="F23" s="13">
        <v>0.8528139</v>
      </c>
      <c r="G23" s="13">
        <v>0.9177489</v>
      </c>
      <c r="H23" s="10">
        <v>4</v>
      </c>
      <c r="I23" s="13">
        <v>0.75</v>
      </c>
      <c r="J23" s="13">
        <v>0.75</v>
      </c>
    </row>
    <row r="24" spans="1:10">
      <c r="A24" s="10" t="s">
        <v>1</v>
      </c>
      <c r="B24" s="11">
        <v>543</v>
      </c>
      <c r="C24" s="12">
        <v>0.8581952</v>
      </c>
      <c r="D24" s="12">
        <v>0.9152855</v>
      </c>
      <c r="E24" s="11">
        <v>276</v>
      </c>
      <c r="F24" s="12">
        <v>0.8369565</v>
      </c>
      <c r="G24" s="12">
        <v>0.9275362</v>
      </c>
      <c r="H24" s="11">
        <v>8</v>
      </c>
      <c r="I24" s="12">
        <v>0.875</v>
      </c>
      <c r="J24" s="12">
        <v>0.875</v>
      </c>
    </row>
    <row r="25" spans="1:10">
      <c r="A25" s="14" t="s">
        <v>86</v>
      </c>
      <c r="B25" s="15" t="str">
        <f>SUM(B22:B24)</f>
        <v>0</v>
      </c>
      <c r="C25" s="16" t="str">
        <f>((B22*C22)+(B23*C23)+(B24*C24))/B25</f>
        <v>0</v>
      </c>
      <c r="D25" s="16" t="str">
        <f>((B22*D22)+(B23*D23)+(B24*D24))/B25</f>
        <v>0</v>
      </c>
      <c r="E25" s="15" t="str">
        <f>SUM(E22:E24)</f>
        <v>0</v>
      </c>
      <c r="F25" s="16" t="str">
        <f>((E22*F22)+(E23*F23)+(E24*F24))/E25</f>
        <v>0</v>
      </c>
      <c r="G25" s="16" t="str">
        <f>((E22*G22)+(E23*G23)+(E24*G24))/E25</f>
        <v>0</v>
      </c>
      <c r="H25" s="15" t="str">
        <f>SUM(H22:H24)</f>
        <v>0</v>
      </c>
      <c r="I25" s="16" t="str">
        <f>((H22*I22)+(H23*I23)+(H24*I24))/H25</f>
        <v>0</v>
      </c>
      <c r="J25" s="16" t="str">
        <f>((H22*J22)+(H23*J23)+(H24*J24))/H25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40</v>
      </c>
      <c r="B31" s="18"/>
      <c r="C31" t="s">
        <v>41</v>
      </c>
      <c r="D31"/>
      <c r="E31"/>
      <c r="F31"/>
      <c r="G31"/>
      <c r="H31"/>
      <c r="I31"/>
      <c r="J31"/>
    </row>
    <row r="32" spans="1:10">
      <c r="A32" s="17" t="s">
        <v>72</v>
      </c>
      <c r="B32" s="18"/>
      <c r="C32" t="s">
        <v>87</v>
      </c>
      <c r="D32"/>
      <c r="E32"/>
      <c r="F32"/>
      <c r="G32"/>
      <c r="H32"/>
      <c r="I32"/>
      <c r="J32"/>
    </row>
    <row r="33" spans="1:10">
      <c r="A33" s="17" t="s">
        <v>74</v>
      </c>
      <c r="B33" s="18"/>
      <c r="C33" t="s">
        <v>75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T54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hidden="true" customWidth="true" style="0"/>
    <col min="12" max="12" width="10" customWidth="true" style="0"/>
    <col min="13" max="13" width="10" hidden="true" customWidth="true" style="0"/>
    <col min="14" max="14" width="11" customWidth="true" style="0"/>
    <col min="15" max="15" width="8" customWidth="true" style="0"/>
    <col min="16" max="16" width="8" customWidth="true" style="0"/>
    <col min="17" max="17" width="8" customWidth="true" style="0"/>
    <col min="18" max="18" width="15" customWidth="true" style="0"/>
    <col min="19" max="19" width="10" customWidth="true" style="0"/>
    <col min="20" max="20" width="15" customWidth="true" style="0"/>
  </cols>
  <sheetData>
    <row r="1" spans="1:20">
      <c r="A1" s="6" t="s">
        <v>102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>
      <c r="A2" s="7" t="s">
        <v>103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>
      <c r="A3" s="7" t="s">
        <v>104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5" spans="1:20">
      <c r="A5" s="25" t="s">
        <v>105</v>
      </c>
      <c r="B5" s="26" t="s">
        <v>106</v>
      </c>
      <c r="C5" s="25" t="s">
        <v>107</v>
      </c>
      <c r="D5" s="26" t="s">
        <v>108</v>
      </c>
      <c r="E5" s="26" t="s">
        <v>109</v>
      </c>
      <c r="F5" s="26" t="s">
        <v>110</v>
      </c>
      <c r="G5" s="25" t="s">
        <v>111</v>
      </c>
      <c r="H5" s="25" t="s">
        <v>112</v>
      </c>
      <c r="I5" s="25" t="s">
        <v>113</v>
      </c>
      <c r="J5" s="25" t="s">
        <v>114</v>
      </c>
      <c r="K5" s="25" t="s">
        <v>115</v>
      </c>
      <c r="L5" s="25" t="s">
        <v>116</v>
      </c>
      <c r="M5" s="25" t="s">
        <v>117</v>
      </c>
      <c r="N5" s="25" t="s">
        <v>118</v>
      </c>
      <c r="O5" s="25" t="s">
        <v>119</v>
      </c>
      <c r="P5" s="25" t="s">
        <v>54</v>
      </c>
      <c r="Q5" s="25" t="s">
        <v>55</v>
      </c>
      <c r="R5" s="25" t="s">
        <v>120</v>
      </c>
      <c r="S5" s="25" t="s">
        <v>121</v>
      </c>
      <c r="T5" s="25" t="s">
        <v>122</v>
      </c>
    </row>
    <row r="6" spans="1:20">
      <c r="A6" s="27" t="s">
        <v>57</v>
      </c>
      <c r="B6" s="27" t="s">
        <v>18</v>
      </c>
      <c r="C6" s="27">
        <v>201610</v>
      </c>
      <c r="D6" s="27" t="s">
        <v>0</v>
      </c>
      <c r="E6" s="27" t="s">
        <v>123</v>
      </c>
      <c r="F6" s="27" t="s">
        <v>124</v>
      </c>
      <c r="G6" s="27">
        <v>4</v>
      </c>
      <c r="H6" s="27">
        <v>110</v>
      </c>
      <c r="I6" s="27">
        <v>113</v>
      </c>
      <c r="J6" s="27">
        <v>122</v>
      </c>
      <c r="K6" s="27">
        <v>110</v>
      </c>
      <c r="L6" s="29">
        <v>0.90164</v>
      </c>
      <c r="M6" s="27">
        <v>113</v>
      </c>
      <c r="N6" s="29">
        <v>0.92623</v>
      </c>
      <c r="O6" s="27">
        <v>5.625</v>
      </c>
      <c r="P6" s="27">
        <v>686.25</v>
      </c>
      <c r="Q6" s="27">
        <v>1.33</v>
      </c>
      <c r="R6" s="27">
        <v>515.98</v>
      </c>
      <c r="S6" s="27">
        <v>19.68</v>
      </c>
      <c r="T6" s="27">
        <v>34.87</v>
      </c>
    </row>
    <row r="7" spans="1:20">
      <c r="A7" s="28" t="s">
        <v>57</v>
      </c>
      <c r="B7" s="28" t="s">
        <v>18</v>
      </c>
      <c r="C7" s="28">
        <v>201610</v>
      </c>
      <c r="D7" s="28" t="s">
        <v>0</v>
      </c>
      <c r="E7" s="28" t="s">
        <v>123</v>
      </c>
      <c r="F7" s="28" t="s">
        <v>125</v>
      </c>
      <c r="G7" s="28">
        <v>3</v>
      </c>
      <c r="H7" s="28">
        <v>53</v>
      </c>
      <c r="I7" s="28">
        <v>58</v>
      </c>
      <c r="J7" s="28">
        <v>83</v>
      </c>
      <c r="K7" s="28">
        <v>53</v>
      </c>
      <c r="L7" s="30">
        <v>0.63855</v>
      </c>
      <c r="M7" s="28">
        <v>58</v>
      </c>
      <c r="N7" s="30">
        <v>0.6988</v>
      </c>
      <c r="O7" s="28">
        <v>5.625</v>
      </c>
      <c r="P7" s="28">
        <v>466.875</v>
      </c>
      <c r="Q7" s="28">
        <v>1</v>
      </c>
      <c r="R7" s="28">
        <v>466.88</v>
      </c>
      <c r="S7" s="28">
        <v>13.16</v>
      </c>
      <c r="T7" s="28">
        <v>35.48</v>
      </c>
    </row>
    <row r="8" spans="1:20">
      <c r="A8" s="27" t="s">
        <v>57</v>
      </c>
      <c r="B8" s="27" t="s">
        <v>20</v>
      </c>
      <c r="C8" s="27">
        <v>201620</v>
      </c>
      <c r="D8" s="27" t="s">
        <v>0</v>
      </c>
      <c r="E8" s="27" t="s">
        <v>123</v>
      </c>
      <c r="F8" s="27" t="s">
        <v>124</v>
      </c>
      <c r="G8" s="27">
        <v>4</v>
      </c>
      <c r="H8" s="27">
        <v>112</v>
      </c>
      <c r="I8" s="27">
        <v>118</v>
      </c>
      <c r="J8" s="27">
        <v>131</v>
      </c>
      <c r="K8" s="27">
        <v>112</v>
      </c>
      <c r="L8" s="29">
        <v>0.85496</v>
      </c>
      <c r="M8" s="27">
        <v>118</v>
      </c>
      <c r="N8" s="29">
        <v>0.90076</v>
      </c>
      <c r="O8" s="27">
        <v>5.625</v>
      </c>
      <c r="P8" s="27">
        <v>736.875</v>
      </c>
      <c r="Q8" s="27">
        <v>1.33</v>
      </c>
      <c r="R8" s="27">
        <v>554.04</v>
      </c>
      <c r="S8" s="27">
        <v>21.13</v>
      </c>
      <c r="T8" s="27">
        <v>34.87</v>
      </c>
    </row>
    <row r="9" spans="1:20">
      <c r="A9" s="28" t="s">
        <v>57</v>
      </c>
      <c r="B9" s="28" t="s">
        <v>20</v>
      </c>
      <c r="C9" s="28">
        <v>201620</v>
      </c>
      <c r="D9" s="28" t="s">
        <v>0</v>
      </c>
      <c r="E9" s="28" t="s">
        <v>123</v>
      </c>
      <c r="F9" s="28" t="s">
        <v>125</v>
      </c>
      <c r="G9" s="28">
        <v>2</v>
      </c>
      <c r="H9" s="28">
        <v>34</v>
      </c>
      <c r="I9" s="28">
        <v>40</v>
      </c>
      <c r="J9" s="28">
        <v>49</v>
      </c>
      <c r="K9" s="28">
        <v>34</v>
      </c>
      <c r="L9" s="30">
        <v>0.69388</v>
      </c>
      <c r="M9" s="28">
        <v>40</v>
      </c>
      <c r="N9" s="30">
        <v>0.81633</v>
      </c>
      <c r="O9" s="28">
        <v>5.625</v>
      </c>
      <c r="P9" s="28">
        <v>275.625</v>
      </c>
      <c r="Q9" s="28">
        <v>0.67</v>
      </c>
      <c r="R9" s="28">
        <v>411.38</v>
      </c>
      <c r="S9" s="28">
        <v>7.77</v>
      </c>
      <c r="T9" s="28">
        <v>35.47</v>
      </c>
    </row>
    <row r="10" spans="1:20">
      <c r="A10" s="27" t="s">
        <v>57</v>
      </c>
      <c r="B10" s="27" t="s">
        <v>21</v>
      </c>
      <c r="C10" s="27">
        <v>201630</v>
      </c>
      <c r="D10" s="27" t="s">
        <v>0</v>
      </c>
      <c r="E10" s="27" t="s">
        <v>123</v>
      </c>
      <c r="F10" s="27" t="s">
        <v>124</v>
      </c>
      <c r="G10" s="27">
        <v>2</v>
      </c>
      <c r="H10" s="27">
        <v>40</v>
      </c>
      <c r="I10" s="27">
        <v>41</v>
      </c>
      <c r="J10" s="27">
        <v>42</v>
      </c>
      <c r="K10" s="27">
        <v>40</v>
      </c>
      <c r="L10" s="29">
        <v>0.95238</v>
      </c>
      <c r="M10" s="27">
        <v>41</v>
      </c>
      <c r="N10" s="29">
        <v>0.97619</v>
      </c>
      <c r="O10" s="27">
        <v>5.625</v>
      </c>
      <c r="P10" s="27">
        <v>236.25</v>
      </c>
      <c r="Q10" s="27">
        <v>0.67</v>
      </c>
      <c r="R10" s="27">
        <v>352.61</v>
      </c>
      <c r="S10" s="27">
        <v>6.67</v>
      </c>
      <c r="T10" s="27">
        <v>35.42</v>
      </c>
    </row>
    <row r="11" spans="1:20">
      <c r="A11" s="28" t="s">
        <v>58</v>
      </c>
      <c r="B11" s="28" t="s">
        <v>22</v>
      </c>
      <c r="C11" s="28">
        <v>201710</v>
      </c>
      <c r="D11" s="28" t="s">
        <v>0</v>
      </c>
      <c r="E11" s="28" t="s">
        <v>123</v>
      </c>
      <c r="F11" s="28" t="s">
        <v>125</v>
      </c>
      <c r="G11" s="28">
        <v>2</v>
      </c>
      <c r="H11" s="28">
        <v>44</v>
      </c>
      <c r="I11" s="28">
        <v>46</v>
      </c>
      <c r="J11" s="28">
        <v>54</v>
      </c>
      <c r="K11" s="28">
        <v>44</v>
      </c>
      <c r="L11" s="30">
        <v>0.81481</v>
      </c>
      <c r="M11" s="28">
        <v>46</v>
      </c>
      <c r="N11" s="30">
        <v>0.85185</v>
      </c>
      <c r="O11" s="28">
        <v>5.625</v>
      </c>
      <c r="P11" s="28">
        <v>303.75</v>
      </c>
      <c r="Q11" s="28">
        <v>0.67</v>
      </c>
      <c r="R11" s="28">
        <v>453.36</v>
      </c>
      <c r="S11" s="28">
        <v>8.56</v>
      </c>
      <c r="T11" s="28">
        <v>35.48</v>
      </c>
    </row>
    <row r="12" spans="1:20">
      <c r="A12" s="27" t="s">
        <v>58</v>
      </c>
      <c r="B12" s="27" t="s">
        <v>22</v>
      </c>
      <c r="C12" s="27">
        <v>201710</v>
      </c>
      <c r="D12" s="27" t="s">
        <v>0</v>
      </c>
      <c r="E12" s="27" t="s">
        <v>123</v>
      </c>
      <c r="F12" s="27" t="s">
        <v>124</v>
      </c>
      <c r="G12" s="27">
        <v>5</v>
      </c>
      <c r="H12" s="27">
        <v>145</v>
      </c>
      <c r="I12" s="27">
        <v>153</v>
      </c>
      <c r="J12" s="27">
        <v>164</v>
      </c>
      <c r="K12" s="27">
        <v>145</v>
      </c>
      <c r="L12" s="29">
        <v>0.88415</v>
      </c>
      <c r="M12" s="27">
        <v>153</v>
      </c>
      <c r="N12" s="29">
        <v>0.93293</v>
      </c>
      <c r="O12" s="27">
        <v>5.625</v>
      </c>
      <c r="P12" s="27">
        <v>922.5</v>
      </c>
      <c r="Q12" s="27">
        <v>1.67</v>
      </c>
      <c r="R12" s="27">
        <v>552.4</v>
      </c>
      <c r="S12" s="27">
        <v>26.31</v>
      </c>
      <c r="T12" s="27">
        <v>35.06</v>
      </c>
    </row>
    <row r="13" spans="1:20">
      <c r="A13" s="28" t="s">
        <v>58</v>
      </c>
      <c r="B13" s="28" t="s">
        <v>24</v>
      </c>
      <c r="C13" s="28">
        <v>201720</v>
      </c>
      <c r="D13" s="28" t="s">
        <v>0</v>
      </c>
      <c r="E13" s="28" t="s">
        <v>123</v>
      </c>
      <c r="F13" s="28" t="s">
        <v>125</v>
      </c>
      <c r="G13" s="28">
        <v>3</v>
      </c>
      <c r="H13" s="28">
        <v>44</v>
      </c>
      <c r="I13" s="28">
        <v>60</v>
      </c>
      <c r="J13" s="28">
        <v>70</v>
      </c>
      <c r="K13" s="28">
        <v>44</v>
      </c>
      <c r="L13" s="30">
        <v>0.62857</v>
      </c>
      <c r="M13" s="28">
        <v>60</v>
      </c>
      <c r="N13" s="30">
        <v>0.85714</v>
      </c>
      <c r="O13" s="28">
        <v>5.625</v>
      </c>
      <c r="P13" s="28">
        <v>393.75</v>
      </c>
      <c r="Q13" s="28">
        <v>1</v>
      </c>
      <c r="R13" s="28">
        <v>393.75</v>
      </c>
      <c r="S13" s="28">
        <v>11.1</v>
      </c>
      <c r="T13" s="28">
        <v>35.47</v>
      </c>
    </row>
    <row r="14" spans="1:20">
      <c r="A14" s="27" t="s">
        <v>58</v>
      </c>
      <c r="B14" s="27" t="s">
        <v>24</v>
      </c>
      <c r="C14" s="27">
        <v>201720</v>
      </c>
      <c r="D14" s="27" t="s">
        <v>0</v>
      </c>
      <c r="E14" s="27" t="s">
        <v>123</v>
      </c>
      <c r="F14" s="27" t="s">
        <v>124</v>
      </c>
      <c r="G14" s="27">
        <v>4</v>
      </c>
      <c r="H14" s="27">
        <v>112</v>
      </c>
      <c r="I14" s="27">
        <v>120</v>
      </c>
      <c r="J14" s="27">
        <v>127</v>
      </c>
      <c r="K14" s="27">
        <v>112</v>
      </c>
      <c r="L14" s="29">
        <v>0.88189</v>
      </c>
      <c r="M14" s="27">
        <v>120</v>
      </c>
      <c r="N14" s="29">
        <v>0.94488</v>
      </c>
      <c r="O14" s="27">
        <v>5.625</v>
      </c>
      <c r="P14" s="27">
        <v>714.375</v>
      </c>
      <c r="Q14" s="27">
        <v>1.33</v>
      </c>
      <c r="R14" s="27">
        <v>537.12</v>
      </c>
      <c r="S14" s="27">
        <v>20.5</v>
      </c>
      <c r="T14" s="27">
        <v>34.85</v>
      </c>
    </row>
    <row r="15" spans="1:20">
      <c r="A15" s="28" t="s">
        <v>1</v>
      </c>
      <c r="B15" s="28" t="s">
        <v>26</v>
      </c>
      <c r="C15" s="28">
        <v>201810</v>
      </c>
      <c r="D15" s="28" t="s">
        <v>0</v>
      </c>
      <c r="E15" s="28" t="s">
        <v>123</v>
      </c>
      <c r="F15" s="28" t="s">
        <v>125</v>
      </c>
      <c r="G15" s="28">
        <v>2</v>
      </c>
      <c r="H15" s="28">
        <v>40</v>
      </c>
      <c r="I15" s="28">
        <v>49</v>
      </c>
      <c r="J15" s="28">
        <v>56</v>
      </c>
      <c r="K15" s="28">
        <v>40</v>
      </c>
      <c r="L15" s="30">
        <v>0.71429</v>
      </c>
      <c r="M15" s="28">
        <v>49</v>
      </c>
      <c r="N15" s="30">
        <v>0.875</v>
      </c>
      <c r="O15" s="28">
        <v>5.625</v>
      </c>
      <c r="P15" s="28">
        <v>315</v>
      </c>
      <c r="Q15" s="28">
        <v>0.67</v>
      </c>
      <c r="R15" s="28">
        <v>470.15</v>
      </c>
      <c r="S15" s="28">
        <v>9.52</v>
      </c>
      <c r="T15" s="28">
        <v>33.09</v>
      </c>
    </row>
    <row r="16" spans="1:20">
      <c r="A16" s="27" t="s">
        <v>1</v>
      </c>
      <c r="B16" s="27" t="s">
        <v>26</v>
      </c>
      <c r="C16" s="27">
        <v>201810</v>
      </c>
      <c r="D16" s="27" t="s">
        <v>0</v>
      </c>
      <c r="E16" s="27" t="s">
        <v>123</v>
      </c>
      <c r="F16" s="27" t="s">
        <v>124</v>
      </c>
      <c r="G16" s="27">
        <v>5</v>
      </c>
      <c r="H16" s="27">
        <v>154</v>
      </c>
      <c r="I16" s="27">
        <v>165</v>
      </c>
      <c r="J16" s="27">
        <v>171</v>
      </c>
      <c r="K16" s="27">
        <v>154</v>
      </c>
      <c r="L16" s="29">
        <v>0.90058</v>
      </c>
      <c r="M16" s="27">
        <v>165</v>
      </c>
      <c r="N16" s="29">
        <v>0.96491</v>
      </c>
      <c r="O16" s="27">
        <v>5.625</v>
      </c>
      <c r="P16" s="27">
        <v>961.875</v>
      </c>
      <c r="Q16" s="27">
        <v>1.67</v>
      </c>
      <c r="R16" s="27">
        <v>575.97</v>
      </c>
      <c r="S16" s="27">
        <v>28.66</v>
      </c>
      <c r="T16" s="27">
        <v>33.56</v>
      </c>
    </row>
    <row r="17" spans="1:20">
      <c r="A17" s="28" t="s">
        <v>1</v>
      </c>
      <c r="B17" s="28" t="s">
        <v>27</v>
      </c>
      <c r="C17" s="28">
        <v>201815</v>
      </c>
      <c r="D17" s="28" t="s">
        <v>0</v>
      </c>
      <c r="E17" s="28" t="s">
        <v>123</v>
      </c>
      <c r="F17" s="28" t="s">
        <v>124</v>
      </c>
      <c r="G17" s="28">
        <v>1</v>
      </c>
      <c r="H17" s="28">
        <v>18</v>
      </c>
      <c r="I17" s="28">
        <v>19</v>
      </c>
      <c r="J17" s="28">
        <v>21</v>
      </c>
      <c r="K17" s="28">
        <v>18</v>
      </c>
      <c r="L17" s="30">
        <v>0.85714</v>
      </c>
      <c r="M17" s="28">
        <v>19</v>
      </c>
      <c r="N17" s="30">
        <v>0.90476</v>
      </c>
      <c r="O17" s="28">
        <v>5.625</v>
      </c>
      <c r="P17" s="28">
        <v>118.125</v>
      </c>
      <c r="Q17" s="28">
        <v>0.33</v>
      </c>
      <c r="R17" s="28">
        <v>357.95</v>
      </c>
      <c r="S17" s="28">
        <v>3.42</v>
      </c>
      <c r="T17" s="28">
        <v>34.54</v>
      </c>
    </row>
    <row r="18" spans="1:20">
      <c r="A18" s="27" t="s">
        <v>1</v>
      </c>
      <c r="B18" s="27" t="s">
        <v>28</v>
      </c>
      <c r="C18" s="27">
        <v>201820</v>
      </c>
      <c r="D18" s="27" t="s">
        <v>0</v>
      </c>
      <c r="E18" s="27" t="s">
        <v>123</v>
      </c>
      <c r="F18" s="27" t="s">
        <v>124</v>
      </c>
      <c r="G18" s="27">
        <v>4</v>
      </c>
      <c r="H18" s="27">
        <v>99</v>
      </c>
      <c r="I18" s="27">
        <v>110</v>
      </c>
      <c r="J18" s="27">
        <v>119</v>
      </c>
      <c r="K18" s="27">
        <v>99</v>
      </c>
      <c r="L18" s="29">
        <v>0.83193</v>
      </c>
      <c r="M18" s="27">
        <v>110</v>
      </c>
      <c r="N18" s="29">
        <v>0.92437</v>
      </c>
      <c r="O18" s="27">
        <v>5.625</v>
      </c>
      <c r="P18" s="27">
        <v>669.375</v>
      </c>
      <c r="Q18" s="27">
        <v>1.33</v>
      </c>
      <c r="R18" s="27">
        <v>503.29</v>
      </c>
      <c r="S18" s="27">
        <v>19.65</v>
      </c>
      <c r="T18" s="27">
        <v>34.06</v>
      </c>
    </row>
    <row r="19" spans="1:20">
      <c r="A19" s="28" t="s">
        <v>1</v>
      </c>
      <c r="B19" s="28" t="s">
        <v>28</v>
      </c>
      <c r="C19" s="28">
        <v>201820</v>
      </c>
      <c r="D19" s="28" t="s">
        <v>0</v>
      </c>
      <c r="E19" s="28" t="s">
        <v>123</v>
      </c>
      <c r="F19" s="28" t="s">
        <v>125</v>
      </c>
      <c r="G19" s="28">
        <v>2</v>
      </c>
      <c r="H19" s="28">
        <v>42</v>
      </c>
      <c r="I19" s="28">
        <v>49</v>
      </c>
      <c r="J19" s="28">
        <v>54</v>
      </c>
      <c r="K19" s="28">
        <v>42</v>
      </c>
      <c r="L19" s="30">
        <v>0.77778</v>
      </c>
      <c r="M19" s="28">
        <v>49</v>
      </c>
      <c r="N19" s="30">
        <v>0.90741</v>
      </c>
      <c r="O19" s="28">
        <v>5.625</v>
      </c>
      <c r="P19" s="28">
        <v>303.75</v>
      </c>
      <c r="Q19" s="28">
        <v>0.67</v>
      </c>
      <c r="R19" s="28">
        <v>453.36</v>
      </c>
      <c r="S19" s="28">
        <v>9.18</v>
      </c>
      <c r="T19" s="28">
        <v>33.09</v>
      </c>
    </row>
    <row r="20" spans="1:20">
      <c r="A20" s="27" t="s">
        <v>1</v>
      </c>
      <c r="B20" s="27" t="s">
        <v>29</v>
      </c>
      <c r="C20" s="27">
        <v>201830</v>
      </c>
      <c r="D20" s="27" t="s">
        <v>0</v>
      </c>
      <c r="E20" s="27" t="s">
        <v>123</v>
      </c>
      <c r="F20" s="27" t="s">
        <v>124</v>
      </c>
      <c r="G20" s="27">
        <v>1</v>
      </c>
      <c r="H20" s="27">
        <v>26</v>
      </c>
      <c r="I20" s="27">
        <v>26</v>
      </c>
      <c r="J20" s="27">
        <v>26</v>
      </c>
      <c r="K20" s="27">
        <v>26</v>
      </c>
      <c r="L20" s="29">
        <v>1</v>
      </c>
      <c r="M20" s="27">
        <v>26</v>
      </c>
      <c r="N20" s="29">
        <v>1</v>
      </c>
      <c r="O20" s="27">
        <v>5.625</v>
      </c>
      <c r="P20" s="27">
        <v>146.25</v>
      </c>
      <c r="Q20" s="27">
        <v>0.33</v>
      </c>
      <c r="R20" s="27">
        <v>443.18</v>
      </c>
      <c r="S20" s="27">
        <v>4.23</v>
      </c>
      <c r="T20" s="27">
        <v>34.57</v>
      </c>
    </row>
    <row r="21" spans="1:20">
      <c r="A21" s="28" t="s">
        <v>57</v>
      </c>
      <c r="B21" s="28" t="s">
        <v>18</v>
      </c>
      <c r="C21" s="28">
        <v>201610</v>
      </c>
      <c r="D21" s="28" t="s">
        <v>0</v>
      </c>
      <c r="E21" s="28" t="s">
        <v>126</v>
      </c>
      <c r="F21" s="28" t="s">
        <v>124</v>
      </c>
      <c r="G21" s="28">
        <v>2</v>
      </c>
      <c r="H21" s="28">
        <v>40</v>
      </c>
      <c r="I21" s="28">
        <v>42</v>
      </c>
      <c r="J21" s="28">
        <v>49</v>
      </c>
      <c r="K21" s="28">
        <v>40</v>
      </c>
      <c r="L21" s="30">
        <v>0.81633</v>
      </c>
      <c r="M21" s="28">
        <v>42</v>
      </c>
      <c r="N21" s="30">
        <v>0.85714</v>
      </c>
      <c r="O21" s="28">
        <v>5.625</v>
      </c>
      <c r="P21" s="28">
        <v>275.625</v>
      </c>
      <c r="Q21" s="28">
        <v>0.67</v>
      </c>
      <c r="R21" s="28">
        <v>411.38</v>
      </c>
      <c r="S21" s="28">
        <v>7.77</v>
      </c>
      <c r="T21" s="28">
        <v>35.47</v>
      </c>
    </row>
    <row r="22" spans="1:20">
      <c r="A22" s="27" t="s">
        <v>57</v>
      </c>
      <c r="B22" s="27" t="s">
        <v>19</v>
      </c>
      <c r="C22" s="27">
        <v>201615</v>
      </c>
      <c r="D22" s="27" t="s">
        <v>0</v>
      </c>
      <c r="E22" s="27" t="s">
        <v>126</v>
      </c>
      <c r="F22" s="27" t="s">
        <v>124</v>
      </c>
      <c r="G22" s="27">
        <v>1</v>
      </c>
      <c r="H22" s="27">
        <v>19</v>
      </c>
      <c r="I22" s="27">
        <v>19</v>
      </c>
      <c r="J22" s="27">
        <v>19</v>
      </c>
      <c r="K22" s="27">
        <v>19</v>
      </c>
      <c r="L22" s="29">
        <v>1</v>
      </c>
      <c r="M22" s="27">
        <v>19</v>
      </c>
      <c r="N22" s="29">
        <v>1</v>
      </c>
      <c r="O22" s="27">
        <v>5.625</v>
      </c>
      <c r="P22" s="27">
        <v>106.875</v>
      </c>
      <c r="Q22" s="27">
        <v>0.33</v>
      </c>
      <c r="R22" s="27">
        <v>323.86</v>
      </c>
      <c r="S22" s="27">
        <v>3.02</v>
      </c>
      <c r="T22" s="27">
        <v>35.39</v>
      </c>
    </row>
    <row r="23" spans="1:20">
      <c r="A23" s="28" t="s">
        <v>57</v>
      </c>
      <c r="B23" s="28" t="s">
        <v>20</v>
      </c>
      <c r="C23" s="28">
        <v>201620</v>
      </c>
      <c r="D23" s="28" t="s">
        <v>0</v>
      </c>
      <c r="E23" s="28" t="s">
        <v>126</v>
      </c>
      <c r="F23" s="28" t="s">
        <v>124</v>
      </c>
      <c r="G23" s="28">
        <v>2</v>
      </c>
      <c r="H23" s="28">
        <v>43</v>
      </c>
      <c r="I23" s="28">
        <v>44</v>
      </c>
      <c r="J23" s="28">
        <v>47</v>
      </c>
      <c r="K23" s="28">
        <v>43</v>
      </c>
      <c r="L23" s="30">
        <v>0.91489</v>
      </c>
      <c r="M23" s="28">
        <v>44</v>
      </c>
      <c r="N23" s="30">
        <v>0.93617</v>
      </c>
      <c r="O23" s="28">
        <v>5.625</v>
      </c>
      <c r="P23" s="28">
        <v>264.375</v>
      </c>
      <c r="Q23" s="28">
        <v>0.67</v>
      </c>
      <c r="R23" s="28">
        <v>394.59</v>
      </c>
      <c r="S23" s="28">
        <v>7.46</v>
      </c>
      <c r="T23" s="28">
        <v>35.44</v>
      </c>
    </row>
    <row r="24" spans="1:20">
      <c r="A24" s="27" t="s">
        <v>57</v>
      </c>
      <c r="B24" s="27" t="s">
        <v>20</v>
      </c>
      <c r="C24" s="27">
        <v>201620</v>
      </c>
      <c r="D24" s="27" t="s">
        <v>0</v>
      </c>
      <c r="E24" s="27" t="s">
        <v>126</v>
      </c>
      <c r="F24" s="27" t="s">
        <v>125</v>
      </c>
      <c r="G24" s="27">
        <v>1</v>
      </c>
      <c r="H24" s="27">
        <v>7</v>
      </c>
      <c r="I24" s="27">
        <v>9</v>
      </c>
      <c r="J24" s="27">
        <v>12</v>
      </c>
      <c r="K24" s="27">
        <v>7</v>
      </c>
      <c r="L24" s="29">
        <v>0.58333</v>
      </c>
      <c r="M24" s="27">
        <v>9</v>
      </c>
      <c r="N24" s="29">
        <v>0.75</v>
      </c>
      <c r="O24" s="27">
        <v>5.625</v>
      </c>
      <c r="P24" s="27">
        <v>67.5</v>
      </c>
      <c r="Q24" s="27">
        <v>0.33</v>
      </c>
      <c r="R24" s="27">
        <v>204.55</v>
      </c>
      <c r="S24" s="27">
        <v>1.9</v>
      </c>
      <c r="T24" s="27">
        <v>35.53</v>
      </c>
    </row>
    <row r="25" spans="1:20">
      <c r="A25" s="28" t="s">
        <v>57</v>
      </c>
      <c r="B25" s="28" t="s">
        <v>21</v>
      </c>
      <c r="C25" s="28">
        <v>201630</v>
      </c>
      <c r="D25" s="28" t="s">
        <v>0</v>
      </c>
      <c r="E25" s="28" t="s">
        <v>126</v>
      </c>
      <c r="F25" s="28" t="s">
        <v>124</v>
      </c>
      <c r="G25" s="28">
        <v>1</v>
      </c>
      <c r="H25" s="28">
        <v>17</v>
      </c>
      <c r="I25" s="28">
        <v>17</v>
      </c>
      <c r="J25" s="28">
        <v>18</v>
      </c>
      <c r="K25" s="28">
        <v>17</v>
      </c>
      <c r="L25" s="30">
        <v>0.94444</v>
      </c>
      <c r="M25" s="28">
        <v>17</v>
      </c>
      <c r="N25" s="30">
        <v>0.94444</v>
      </c>
      <c r="O25" s="28">
        <v>5.625</v>
      </c>
      <c r="P25" s="28">
        <v>101.25</v>
      </c>
      <c r="Q25" s="28">
        <v>0.33</v>
      </c>
      <c r="R25" s="28">
        <v>306.82</v>
      </c>
      <c r="S25" s="28">
        <v>2.86</v>
      </c>
      <c r="T25" s="28">
        <v>35.4</v>
      </c>
    </row>
    <row r="26" spans="1:20">
      <c r="A26" s="27" t="s">
        <v>58</v>
      </c>
      <c r="B26" s="27" t="s">
        <v>22</v>
      </c>
      <c r="C26" s="27">
        <v>201710</v>
      </c>
      <c r="D26" s="27" t="s">
        <v>0</v>
      </c>
      <c r="E26" s="27" t="s">
        <v>126</v>
      </c>
      <c r="F26" s="27" t="s">
        <v>124</v>
      </c>
      <c r="G26" s="27">
        <v>2</v>
      </c>
      <c r="H26" s="27">
        <v>44</v>
      </c>
      <c r="I26" s="27">
        <v>46</v>
      </c>
      <c r="J26" s="27">
        <v>49</v>
      </c>
      <c r="K26" s="27">
        <v>44</v>
      </c>
      <c r="L26" s="29">
        <v>0.89796</v>
      </c>
      <c r="M26" s="27">
        <v>46</v>
      </c>
      <c r="N26" s="29">
        <v>0.93878</v>
      </c>
      <c r="O26" s="27">
        <v>5.625</v>
      </c>
      <c r="P26" s="27">
        <v>275.625</v>
      </c>
      <c r="Q26" s="27">
        <v>0.67</v>
      </c>
      <c r="R26" s="27">
        <v>411.38</v>
      </c>
      <c r="S26" s="27">
        <v>7.77</v>
      </c>
      <c r="T26" s="27">
        <v>35.47</v>
      </c>
    </row>
    <row r="27" spans="1:20">
      <c r="A27" s="28" t="s">
        <v>58</v>
      </c>
      <c r="B27" s="28" t="s">
        <v>23</v>
      </c>
      <c r="C27" s="28">
        <v>201715</v>
      </c>
      <c r="D27" s="28" t="s">
        <v>0</v>
      </c>
      <c r="E27" s="28" t="s">
        <v>126</v>
      </c>
      <c r="F27" s="28" t="s">
        <v>124</v>
      </c>
      <c r="G27" s="28">
        <v>1</v>
      </c>
      <c r="H27" s="28">
        <v>14</v>
      </c>
      <c r="I27" s="28">
        <v>14</v>
      </c>
      <c r="J27" s="28">
        <v>14</v>
      </c>
      <c r="K27" s="28">
        <v>14</v>
      </c>
      <c r="L27" s="30">
        <v>1</v>
      </c>
      <c r="M27" s="28">
        <v>14</v>
      </c>
      <c r="N27" s="30">
        <v>1</v>
      </c>
      <c r="O27" s="28">
        <v>5.625</v>
      </c>
      <c r="P27" s="28">
        <v>78.75</v>
      </c>
      <c r="Q27" s="28">
        <v>0.33</v>
      </c>
      <c r="R27" s="28">
        <v>238.64</v>
      </c>
      <c r="S27" s="28">
        <v>2.22</v>
      </c>
      <c r="T27" s="28">
        <v>35.47</v>
      </c>
    </row>
    <row r="28" spans="1:20">
      <c r="A28" s="27" t="s">
        <v>58</v>
      </c>
      <c r="B28" s="27" t="s">
        <v>24</v>
      </c>
      <c r="C28" s="27">
        <v>201720</v>
      </c>
      <c r="D28" s="27" t="s">
        <v>0</v>
      </c>
      <c r="E28" s="27" t="s">
        <v>126</v>
      </c>
      <c r="F28" s="27" t="s">
        <v>125</v>
      </c>
      <c r="G28" s="27">
        <v>1</v>
      </c>
      <c r="H28" s="27">
        <v>10</v>
      </c>
      <c r="I28" s="27">
        <v>10</v>
      </c>
      <c r="J28" s="27">
        <v>14</v>
      </c>
      <c r="K28" s="27">
        <v>10</v>
      </c>
      <c r="L28" s="29">
        <v>0.71429</v>
      </c>
      <c r="M28" s="27">
        <v>10</v>
      </c>
      <c r="N28" s="29">
        <v>0.71429</v>
      </c>
      <c r="O28" s="27">
        <v>5.625</v>
      </c>
      <c r="P28" s="27">
        <v>78.75</v>
      </c>
      <c r="Q28" s="27">
        <v>0.33</v>
      </c>
      <c r="R28" s="27">
        <v>238.64</v>
      </c>
      <c r="S28" s="27">
        <v>2.22</v>
      </c>
      <c r="T28" s="27">
        <v>35.47</v>
      </c>
    </row>
    <row r="29" spans="1:20">
      <c r="A29" s="28" t="s">
        <v>58</v>
      </c>
      <c r="B29" s="28" t="s">
        <v>24</v>
      </c>
      <c r="C29" s="28">
        <v>201720</v>
      </c>
      <c r="D29" s="28" t="s">
        <v>0</v>
      </c>
      <c r="E29" s="28" t="s">
        <v>126</v>
      </c>
      <c r="F29" s="28" t="s">
        <v>124</v>
      </c>
      <c r="G29" s="28">
        <v>2</v>
      </c>
      <c r="H29" s="28">
        <v>40</v>
      </c>
      <c r="I29" s="28">
        <v>41</v>
      </c>
      <c r="J29" s="28">
        <v>44</v>
      </c>
      <c r="K29" s="28">
        <v>40</v>
      </c>
      <c r="L29" s="30">
        <v>0.90909</v>
      </c>
      <c r="M29" s="28">
        <v>41</v>
      </c>
      <c r="N29" s="30">
        <v>0.93182</v>
      </c>
      <c r="O29" s="28">
        <v>5.625</v>
      </c>
      <c r="P29" s="28">
        <v>247.5</v>
      </c>
      <c r="Q29" s="28">
        <v>0.67</v>
      </c>
      <c r="R29" s="28">
        <v>369.4</v>
      </c>
      <c r="S29" s="28">
        <v>6.98</v>
      </c>
      <c r="T29" s="28">
        <v>35.46</v>
      </c>
    </row>
    <row r="30" spans="1:20">
      <c r="A30" s="27" t="s">
        <v>58</v>
      </c>
      <c r="B30" s="27" t="s">
        <v>25</v>
      </c>
      <c r="C30" s="27">
        <v>201730</v>
      </c>
      <c r="D30" s="27" t="s">
        <v>0</v>
      </c>
      <c r="E30" s="27" t="s">
        <v>126</v>
      </c>
      <c r="F30" s="27" t="s">
        <v>124</v>
      </c>
      <c r="G30" s="27">
        <v>1</v>
      </c>
      <c r="H30" s="27">
        <v>17</v>
      </c>
      <c r="I30" s="27">
        <v>17</v>
      </c>
      <c r="J30" s="27">
        <v>17</v>
      </c>
      <c r="K30" s="27">
        <v>17</v>
      </c>
      <c r="L30" s="29">
        <v>1</v>
      </c>
      <c r="M30" s="27">
        <v>17</v>
      </c>
      <c r="N30" s="29">
        <v>1</v>
      </c>
      <c r="O30" s="27">
        <v>5.625</v>
      </c>
      <c r="P30" s="27">
        <v>95.625</v>
      </c>
      <c r="Q30" s="27">
        <v>0.33</v>
      </c>
      <c r="R30" s="27">
        <v>289.77</v>
      </c>
      <c r="S30" s="27">
        <v>2.7</v>
      </c>
      <c r="T30" s="27">
        <v>35.42</v>
      </c>
    </row>
    <row r="31" spans="1:20">
      <c r="A31" s="28" t="s">
        <v>1</v>
      </c>
      <c r="B31" s="28" t="s">
        <v>26</v>
      </c>
      <c r="C31" s="28">
        <v>201810</v>
      </c>
      <c r="D31" s="28" t="s">
        <v>0</v>
      </c>
      <c r="E31" s="28" t="s">
        <v>126</v>
      </c>
      <c r="F31" s="28" t="s">
        <v>124</v>
      </c>
      <c r="G31" s="28">
        <v>2</v>
      </c>
      <c r="H31" s="28">
        <v>41</v>
      </c>
      <c r="I31" s="28">
        <v>42</v>
      </c>
      <c r="J31" s="28">
        <v>48</v>
      </c>
      <c r="K31" s="28">
        <v>41</v>
      </c>
      <c r="L31" s="30">
        <v>0.85417</v>
      </c>
      <c r="M31" s="28">
        <v>42</v>
      </c>
      <c r="N31" s="30">
        <v>0.875</v>
      </c>
      <c r="O31" s="28">
        <v>5.625</v>
      </c>
      <c r="P31" s="28">
        <v>270</v>
      </c>
      <c r="Q31" s="28">
        <v>0.67</v>
      </c>
      <c r="R31" s="28">
        <v>402.99</v>
      </c>
      <c r="S31" s="28">
        <v>7.98</v>
      </c>
      <c r="T31" s="28">
        <v>33.83</v>
      </c>
    </row>
    <row r="32" spans="1:20">
      <c r="A32" s="27" t="s">
        <v>1</v>
      </c>
      <c r="B32" s="27" t="s">
        <v>28</v>
      </c>
      <c r="C32" s="27">
        <v>201820</v>
      </c>
      <c r="D32" s="27" t="s">
        <v>0</v>
      </c>
      <c r="E32" s="27" t="s">
        <v>126</v>
      </c>
      <c r="F32" s="27" t="s">
        <v>124</v>
      </c>
      <c r="G32" s="27">
        <v>2</v>
      </c>
      <c r="H32" s="27">
        <v>59</v>
      </c>
      <c r="I32" s="27">
        <v>60</v>
      </c>
      <c r="J32" s="27">
        <v>62</v>
      </c>
      <c r="K32" s="27">
        <v>59</v>
      </c>
      <c r="L32" s="29">
        <v>0.95161</v>
      </c>
      <c r="M32" s="27">
        <v>60</v>
      </c>
      <c r="N32" s="29">
        <v>0.96774</v>
      </c>
      <c r="O32" s="27">
        <v>5.625</v>
      </c>
      <c r="P32" s="27">
        <v>348.75</v>
      </c>
      <c r="Q32" s="27">
        <v>0.67</v>
      </c>
      <c r="R32" s="27">
        <v>520.52</v>
      </c>
      <c r="S32" s="27">
        <v>10.04</v>
      </c>
      <c r="T32" s="27">
        <v>34.74</v>
      </c>
    </row>
    <row r="33" spans="1:20">
      <c r="A33" s="28" t="s">
        <v>1</v>
      </c>
      <c r="B33" s="28" t="s">
        <v>28</v>
      </c>
      <c r="C33" s="28">
        <v>201820</v>
      </c>
      <c r="D33" s="28" t="s">
        <v>0</v>
      </c>
      <c r="E33" s="28" t="s">
        <v>126</v>
      </c>
      <c r="F33" s="28" t="s">
        <v>125</v>
      </c>
      <c r="G33" s="28">
        <v>1</v>
      </c>
      <c r="H33" s="28">
        <v>12</v>
      </c>
      <c r="I33" s="28">
        <v>17</v>
      </c>
      <c r="J33" s="28">
        <v>21</v>
      </c>
      <c r="K33" s="28">
        <v>12</v>
      </c>
      <c r="L33" s="30">
        <v>0.57143</v>
      </c>
      <c r="M33" s="28">
        <v>17</v>
      </c>
      <c r="N33" s="30">
        <v>0.80952</v>
      </c>
      <c r="O33" s="28">
        <v>5.625</v>
      </c>
      <c r="P33" s="28">
        <v>118.125</v>
      </c>
      <c r="Q33" s="28">
        <v>0.33</v>
      </c>
      <c r="R33" s="28">
        <v>357.95</v>
      </c>
      <c r="S33" s="28">
        <v>3.57</v>
      </c>
      <c r="T33" s="28">
        <v>33.09</v>
      </c>
    </row>
    <row r="34" spans="1:20">
      <c r="A34" s="27" t="s">
        <v>1</v>
      </c>
      <c r="B34" s="27" t="s">
        <v>29</v>
      </c>
      <c r="C34" s="27">
        <v>201830</v>
      </c>
      <c r="D34" s="27" t="s">
        <v>0</v>
      </c>
      <c r="E34" s="27" t="s">
        <v>126</v>
      </c>
      <c r="F34" s="27" t="s">
        <v>124</v>
      </c>
      <c r="G34" s="27">
        <v>1</v>
      </c>
      <c r="H34" s="27">
        <v>19</v>
      </c>
      <c r="I34" s="27">
        <v>19</v>
      </c>
      <c r="J34" s="27">
        <v>19</v>
      </c>
      <c r="K34" s="27">
        <v>19</v>
      </c>
      <c r="L34" s="29">
        <v>1</v>
      </c>
      <c r="M34" s="27">
        <v>19</v>
      </c>
      <c r="N34" s="29">
        <v>1</v>
      </c>
      <c r="O34" s="27">
        <v>5.625</v>
      </c>
      <c r="P34" s="27">
        <v>106.875</v>
      </c>
      <c r="Q34" s="27">
        <v>0.33</v>
      </c>
      <c r="R34" s="27">
        <v>323.86</v>
      </c>
      <c r="S34" s="27">
        <v>3.17</v>
      </c>
      <c r="T34" s="27">
        <v>33.71</v>
      </c>
    </row>
    <row r="35" spans="1:20">
      <c r="A35" s="28" t="s">
        <v>57</v>
      </c>
      <c r="B35" s="28" t="s">
        <v>20</v>
      </c>
      <c r="C35" s="28">
        <v>201620</v>
      </c>
      <c r="D35" s="28" t="s">
        <v>0</v>
      </c>
      <c r="E35" s="28" t="s">
        <v>127</v>
      </c>
      <c r="F35" s="28" t="s">
        <v>124</v>
      </c>
      <c r="G35" s="28">
        <v>2</v>
      </c>
      <c r="H35" s="28">
        <v>41</v>
      </c>
      <c r="I35" s="28">
        <v>43</v>
      </c>
      <c r="J35" s="28">
        <v>47</v>
      </c>
      <c r="K35" s="28">
        <v>41</v>
      </c>
      <c r="L35" s="30">
        <v>0.87234</v>
      </c>
      <c r="M35" s="28">
        <v>43</v>
      </c>
      <c r="N35" s="30">
        <v>0.91489</v>
      </c>
      <c r="O35" s="28">
        <v>3.375</v>
      </c>
      <c r="P35" s="28">
        <v>158.625</v>
      </c>
      <c r="Q35" s="28">
        <v>0.4</v>
      </c>
      <c r="R35" s="28">
        <v>396.56</v>
      </c>
      <c r="S35" s="28">
        <v>4.52</v>
      </c>
      <c r="T35" s="28">
        <v>35.09</v>
      </c>
    </row>
    <row r="36" spans="1:20">
      <c r="A36" s="27" t="s">
        <v>58</v>
      </c>
      <c r="B36" s="27" t="s">
        <v>24</v>
      </c>
      <c r="C36" s="27">
        <v>201720</v>
      </c>
      <c r="D36" s="27" t="s">
        <v>0</v>
      </c>
      <c r="E36" s="27" t="s">
        <v>127</v>
      </c>
      <c r="F36" s="27" t="s">
        <v>124</v>
      </c>
      <c r="G36" s="27">
        <v>2</v>
      </c>
      <c r="H36" s="27">
        <v>44</v>
      </c>
      <c r="I36" s="27">
        <v>45</v>
      </c>
      <c r="J36" s="27">
        <v>48</v>
      </c>
      <c r="K36" s="27">
        <v>44</v>
      </c>
      <c r="L36" s="29">
        <v>0.91667</v>
      </c>
      <c r="M36" s="27">
        <v>45</v>
      </c>
      <c r="N36" s="29">
        <v>0.9375</v>
      </c>
      <c r="O36" s="27">
        <v>3.375</v>
      </c>
      <c r="P36" s="27">
        <v>162</v>
      </c>
      <c r="Q36" s="27">
        <v>0.4</v>
      </c>
      <c r="R36" s="27">
        <v>405</v>
      </c>
      <c r="S36" s="27">
        <v>4.62</v>
      </c>
      <c r="T36" s="27">
        <v>35.06</v>
      </c>
    </row>
    <row r="37" spans="1:20">
      <c r="A37" s="28" t="s">
        <v>1</v>
      </c>
      <c r="B37" s="28" t="s">
        <v>28</v>
      </c>
      <c r="C37" s="28">
        <v>201820</v>
      </c>
      <c r="D37" s="28" t="s">
        <v>0</v>
      </c>
      <c r="E37" s="28" t="s">
        <v>127</v>
      </c>
      <c r="F37" s="28" t="s">
        <v>124</v>
      </c>
      <c r="G37" s="28">
        <v>2</v>
      </c>
      <c r="H37" s="28">
        <v>40</v>
      </c>
      <c r="I37" s="28">
        <v>43</v>
      </c>
      <c r="J37" s="28">
        <v>47</v>
      </c>
      <c r="K37" s="28">
        <v>40</v>
      </c>
      <c r="L37" s="30">
        <v>0.85106</v>
      </c>
      <c r="M37" s="28">
        <v>43</v>
      </c>
      <c r="N37" s="30">
        <v>0.91489</v>
      </c>
      <c r="O37" s="28">
        <v>3.375</v>
      </c>
      <c r="P37" s="28">
        <v>158.625</v>
      </c>
      <c r="Q37" s="28">
        <v>0.4</v>
      </c>
      <c r="R37" s="28">
        <v>396.56</v>
      </c>
      <c r="S37" s="28">
        <v>4.53</v>
      </c>
      <c r="T37" s="28">
        <v>35.02</v>
      </c>
    </row>
    <row r="38" spans="1:20">
      <c r="A38" s="27" t="s">
        <v>57</v>
      </c>
      <c r="B38" s="27" t="s">
        <v>20</v>
      </c>
      <c r="C38" s="27">
        <v>201620</v>
      </c>
      <c r="D38" s="27" t="s">
        <v>0</v>
      </c>
      <c r="E38" s="27" t="s">
        <v>128</v>
      </c>
      <c r="F38" s="27" t="s">
        <v>124</v>
      </c>
      <c r="G38" s="27">
        <v>1</v>
      </c>
      <c r="H38" s="27">
        <v>36</v>
      </c>
      <c r="I38" s="27">
        <v>36</v>
      </c>
      <c r="J38" s="27">
        <v>38</v>
      </c>
      <c r="K38" s="27">
        <v>36</v>
      </c>
      <c r="L38" s="29">
        <v>0.94737</v>
      </c>
      <c r="M38" s="27">
        <v>36</v>
      </c>
      <c r="N38" s="29">
        <v>0.94737</v>
      </c>
      <c r="O38" s="27">
        <v>3.375</v>
      </c>
      <c r="P38" s="27">
        <v>128.25</v>
      </c>
      <c r="Q38" s="27">
        <v>0.27</v>
      </c>
      <c r="R38" s="27">
        <v>475</v>
      </c>
      <c r="S38" s="27">
        <v>3.66</v>
      </c>
      <c r="T38" s="27">
        <v>35.04</v>
      </c>
    </row>
    <row r="39" spans="1:20">
      <c r="A39" s="28" t="s">
        <v>1</v>
      </c>
      <c r="B39" s="28" t="s">
        <v>26</v>
      </c>
      <c r="C39" s="28">
        <v>201810</v>
      </c>
      <c r="D39" s="28" t="s">
        <v>0</v>
      </c>
      <c r="E39" s="28" t="s">
        <v>128</v>
      </c>
      <c r="F39" s="28" t="s">
        <v>125</v>
      </c>
      <c r="G39" s="28">
        <v>1</v>
      </c>
      <c r="H39" s="28">
        <v>38</v>
      </c>
      <c r="I39" s="28">
        <v>38</v>
      </c>
      <c r="J39" s="28">
        <v>46</v>
      </c>
      <c r="K39" s="28">
        <v>38</v>
      </c>
      <c r="L39" s="30">
        <v>0.82609</v>
      </c>
      <c r="M39" s="28">
        <v>38</v>
      </c>
      <c r="N39" s="30">
        <v>0.82609</v>
      </c>
      <c r="O39" s="28">
        <v>3.375</v>
      </c>
      <c r="P39" s="28">
        <v>155.25</v>
      </c>
      <c r="Q39" s="28">
        <v>0.2</v>
      </c>
      <c r="R39" s="28">
        <v>776.25</v>
      </c>
      <c r="S39" s="28">
        <v>4.43</v>
      </c>
      <c r="T39" s="28">
        <v>35.05</v>
      </c>
    </row>
    <row r="40" spans="1:20">
      <c r="A40" s="27" t="s">
        <v>58</v>
      </c>
      <c r="B40" s="27" t="s">
        <v>24</v>
      </c>
      <c r="C40" s="27">
        <v>201720</v>
      </c>
      <c r="D40" s="27" t="s">
        <v>0</v>
      </c>
      <c r="E40" s="27" t="s">
        <v>129</v>
      </c>
      <c r="F40" s="27" t="s">
        <v>124</v>
      </c>
      <c r="G40" s="27">
        <v>1</v>
      </c>
      <c r="H40" s="27">
        <v>21</v>
      </c>
      <c r="I40" s="27">
        <v>21</v>
      </c>
      <c r="J40" s="27">
        <v>29</v>
      </c>
      <c r="K40" s="27">
        <v>21</v>
      </c>
      <c r="L40" s="29">
        <v>0.72414</v>
      </c>
      <c r="M40" s="27">
        <v>21</v>
      </c>
      <c r="N40" s="29">
        <v>0.72414</v>
      </c>
      <c r="O40" s="27">
        <v>3.375</v>
      </c>
      <c r="P40" s="27">
        <v>97.875</v>
      </c>
      <c r="Q40" s="27">
        <v>0.2</v>
      </c>
      <c r="R40" s="27">
        <v>489.38</v>
      </c>
      <c r="S40" s="27">
        <v>2.79</v>
      </c>
      <c r="T40" s="27">
        <v>35.08</v>
      </c>
    </row>
    <row r="41" spans="1:20">
      <c r="A41" s="28" t="s">
        <v>57</v>
      </c>
      <c r="B41" s="28" t="s">
        <v>18</v>
      </c>
      <c r="C41" s="28">
        <v>201610</v>
      </c>
      <c r="D41" s="28" t="s">
        <v>0</v>
      </c>
      <c r="E41" s="28" t="s">
        <v>130</v>
      </c>
      <c r="F41" s="28" t="s">
        <v>124</v>
      </c>
      <c r="G41" s="28">
        <v>2</v>
      </c>
      <c r="H41" s="28">
        <v>38</v>
      </c>
      <c r="I41" s="28">
        <v>40</v>
      </c>
      <c r="J41" s="28">
        <v>46</v>
      </c>
      <c r="K41" s="28">
        <v>38</v>
      </c>
      <c r="L41" s="30">
        <v>0.82609</v>
      </c>
      <c r="M41" s="28">
        <v>40</v>
      </c>
      <c r="N41" s="30">
        <v>0.86957</v>
      </c>
      <c r="O41" s="28">
        <v>3.375</v>
      </c>
      <c r="P41" s="28">
        <v>155.25</v>
      </c>
      <c r="Q41" s="28">
        <v>0.4</v>
      </c>
      <c r="R41" s="28">
        <v>388.13</v>
      </c>
      <c r="S41" s="28">
        <v>4.43</v>
      </c>
      <c r="T41" s="28">
        <v>35.05</v>
      </c>
    </row>
    <row r="42" spans="1:20">
      <c r="A42" s="27" t="s">
        <v>58</v>
      </c>
      <c r="B42" s="27" t="s">
        <v>22</v>
      </c>
      <c r="C42" s="27">
        <v>201710</v>
      </c>
      <c r="D42" s="27" t="s">
        <v>0</v>
      </c>
      <c r="E42" s="27" t="s">
        <v>130</v>
      </c>
      <c r="F42" s="27" t="s">
        <v>124</v>
      </c>
      <c r="G42" s="27">
        <v>2</v>
      </c>
      <c r="H42" s="27">
        <v>48</v>
      </c>
      <c r="I42" s="27">
        <v>51</v>
      </c>
      <c r="J42" s="27">
        <v>54</v>
      </c>
      <c r="K42" s="27">
        <v>48</v>
      </c>
      <c r="L42" s="29">
        <v>0.88889</v>
      </c>
      <c r="M42" s="27">
        <v>51</v>
      </c>
      <c r="N42" s="29">
        <v>0.94444</v>
      </c>
      <c r="O42" s="27">
        <v>3.375</v>
      </c>
      <c r="P42" s="27">
        <v>182.25</v>
      </c>
      <c r="Q42" s="27">
        <v>0.4</v>
      </c>
      <c r="R42" s="27">
        <v>455.63</v>
      </c>
      <c r="S42" s="27">
        <v>5.2</v>
      </c>
      <c r="T42" s="27">
        <v>35.05</v>
      </c>
    </row>
    <row r="43" spans="1:20">
      <c r="A43" s="28" t="s">
        <v>1</v>
      </c>
      <c r="B43" s="28" t="s">
        <v>26</v>
      </c>
      <c r="C43" s="28">
        <v>201810</v>
      </c>
      <c r="D43" s="28" t="s">
        <v>0</v>
      </c>
      <c r="E43" s="28" t="s">
        <v>130</v>
      </c>
      <c r="F43" s="28" t="s">
        <v>124</v>
      </c>
      <c r="G43" s="28">
        <v>2</v>
      </c>
      <c r="H43" s="28">
        <v>50</v>
      </c>
      <c r="I43" s="28">
        <v>54</v>
      </c>
      <c r="J43" s="28">
        <v>56</v>
      </c>
      <c r="K43" s="28">
        <v>50</v>
      </c>
      <c r="L43" s="30">
        <v>0.89286</v>
      </c>
      <c r="M43" s="28">
        <v>54</v>
      </c>
      <c r="N43" s="30">
        <v>0.96429</v>
      </c>
      <c r="O43" s="28">
        <v>3.375</v>
      </c>
      <c r="P43" s="28">
        <v>189</v>
      </c>
      <c r="Q43" s="28">
        <v>0.4</v>
      </c>
      <c r="R43" s="28">
        <v>472.5</v>
      </c>
      <c r="S43" s="28">
        <v>5.4</v>
      </c>
      <c r="T43" s="28">
        <v>35</v>
      </c>
    </row>
    <row r="44" spans="1:20">
      <c r="A44" s="27" t="s">
        <v>57</v>
      </c>
      <c r="B44" s="27" t="s">
        <v>20</v>
      </c>
      <c r="C44" s="27">
        <v>201620</v>
      </c>
      <c r="D44" s="27" t="s">
        <v>0</v>
      </c>
      <c r="E44" s="27" t="s">
        <v>131</v>
      </c>
      <c r="F44" s="27" t="s">
        <v>124</v>
      </c>
      <c r="G44" s="27">
        <v>1</v>
      </c>
      <c r="H44" s="27">
        <v>20</v>
      </c>
      <c r="I44" s="27">
        <v>20</v>
      </c>
      <c r="J44" s="27">
        <v>20</v>
      </c>
      <c r="K44" s="27">
        <v>20</v>
      </c>
      <c r="L44" s="29">
        <v>1</v>
      </c>
      <c r="M44" s="27">
        <v>20</v>
      </c>
      <c r="N44" s="29">
        <v>1</v>
      </c>
      <c r="O44" s="27">
        <v>3.375</v>
      </c>
      <c r="P44" s="27">
        <v>67.5</v>
      </c>
      <c r="Q44" s="27">
        <v>0.2</v>
      </c>
      <c r="R44" s="27">
        <v>337.5</v>
      </c>
      <c r="S44" s="27">
        <v>1.93</v>
      </c>
      <c r="T44" s="27">
        <v>34.97</v>
      </c>
    </row>
    <row r="45" spans="1:20">
      <c r="A45" s="28" t="s">
        <v>58</v>
      </c>
      <c r="B45" s="28" t="s">
        <v>24</v>
      </c>
      <c r="C45" s="28">
        <v>201720</v>
      </c>
      <c r="D45" s="28" t="s">
        <v>0</v>
      </c>
      <c r="E45" s="28" t="s">
        <v>131</v>
      </c>
      <c r="F45" s="28" t="s">
        <v>124</v>
      </c>
      <c r="G45" s="28">
        <v>1</v>
      </c>
      <c r="H45" s="28">
        <v>23</v>
      </c>
      <c r="I45" s="28">
        <v>24</v>
      </c>
      <c r="J45" s="28">
        <v>25</v>
      </c>
      <c r="K45" s="28">
        <v>23</v>
      </c>
      <c r="L45" s="30">
        <v>0.92</v>
      </c>
      <c r="M45" s="28">
        <v>24</v>
      </c>
      <c r="N45" s="30">
        <v>0.96</v>
      </c>
      <c r="O45" s="28">
        <v>3.375</v>
      </c>
      <c r="P45" s="28">
        <v>84.375</v>
      </c>
      <c r="Q45" s="28">
        <v>0.2</v>
      </c>
      <c r="R45" s="28">
        <v>421.88</v>
      </c>
      <c r="S45" s="28">
        <v>2.41</v>
      </c>
      <c r="T45" s="28">
        <v>35.01</v>
      </c>
    </row>
    <row r="46" spans="1:20">
      <c r="A46" s="27" t="s">
        <v>1</v>
      </c>
      <c r="B46" s="27" t="s">
        <v>28</v>
      </c>
      <c r="C46" s="27">
        <v>201820</v>
      </c>
      <c r="D46" s="27" t="s">
        <v>0</v>
      </c>
      <c r="E46" s="27" t="s">
        <v>131</v>
      </c>
      <c r="F46" s="27" t="s">
        <v>124</v>
      </c>
      <c r="G46" s="27">
        <v>1</v>
      </c>
      <c r="H46" s="27">
        <v>21</v>
      </c>
      <c r="I46" s="27">
        <v>22</v>
      </c>
      <c r="J46" s="27">
        <v>25</v>
      </c>
      <c r="K46" s="27">
        <v>21</v>
      </c>
      <c r="L46" s="29">
        <v>0.84</v>
      </c>
      <c r="M46" s="27">
        <v>22</v>
      </c>
      <c r="N46" s="29">
        <v>0.88</v>
      </c>
      <c r="O46" s="27">
        <v>3.375</v>
      </c>
      <c r="P46" s="27">
        <v>84.375</v>
      </c>
      <c r="Q46" s="27">
        <v>0.2</v>
      </c>
      <c r="R46" s="27">
        <v>421.88</v>
      </c>
      <c r="S46" s="27">
        <v>2.41</v>
      </c>
      <c r="T46" s="27">
        <v>35.01</v>
      </c>
    </row>
    <row r="47" spans="1:20">
      <c r="A47" s="28" t="s">
        <v>57</v>
      </c>
      <c r="B47" s="28" t="s">
        <v>18</v>
      </c>
      <c r="C47" s="28">
        <v>201610</v>
      </c>
      <c r="D47" s="28" t="s">
        <v>0</v>
      </c>
      <c r="E47" s="28" t="s">
        <v>132</v>
      </c>
      <c r="F47" s="28" t="s">
        <v>124</v>
      </c>
      <c r="G47" s="28">
        <v>1</v>
      </c>
      <c r="H47" s="28">
        <v>10</v>
      </c>
      <c r="I47" s="28">
        <v>12</v>
      </c>
      <c r="J47" s="28">
        <v>16</v>
      </c>
      <c r="K47" s="28">
        <v>10</v>
      </c>
      <c r="L47" s="30">
        <v>0.625</v>
      </c>
      <c r="M47" s="28">
        <v>12</v>
      </c>
      <c r="N47" s="30">
        <v>0.75</v>
      </c>
      <c r="O47" s="28">
        <v>3.375</v>
      </c>
      <c r="P47" s="28">
        <v>54</v>
      </c>
      <c r="Q47" s="28">
        <v>0.2</v>
      </c>
      <c r="R47" s="28">
        <v>270</v>
      </c>
      <c r="S47" s="28">
        <v>1.54</v>
      </c>
      <c r="T47" s="28">
        <v>35.06</v>
      </c>
    </row>
    <row r="48" spans="1:20">
      <c r="A48" s="27" t="s">
        <v>58</v>
      </c>
      <c r="B48" s="27" t="s">
        <v>22</v>
      </c>
      <c r="C48" s="27">
        <v>201710</v>
      </c>
      <c r="D48" s="27" t="s">
        <v>0</v>
      </c>
      <c r="E48" s="27" t="s">
        <v>132</v>
      </c>
      <c r="F48" s="27" t="s">
        <v>124</v>
      </c>
      <c r="G48" s="27">
        <v>1</v>
      </c>
      <c r="H48" s="27">
        <v>16</v>
      </c>
      <c r="I48" s="27">
        <v>18</v>
      </c>
      <c r="J48" s="27">
        <v>19</v>
      </c>
      <c r="K48" s="27">
        <v>16</v>
      </c>
      <c r="L48" s="29">
        <v>0.84211</v>
      </c>
      <c r="M48" s="27">
        <v>18</v>
      </c>
      <c r="N48" s="29">
        <v>0.94737</v>
      </c>
      <c r="O48" s="27">
        <v>3.375</v>
      </c>
      <c r="P48" s="27">
        <v>64.125</v>
      </c>
      <c r="Q48" s="27">
        <v>0.2</v>
      </c>
      <c r="R48" s="27">
        <v>320.63</v>
      </c>
      <c r="S48" s="27">
        <v>1.83</v>
      </c>
      <c r="T48" s="27">
        <v>35.04</v>
      </c>
    </row>
    <row r="49" spans="1:20">
      <c r="A49" s="28" t="s">
        <v>1</v>
      </c>
      <c r="B49" s="28" t="s">
        <v>26</v>
      </c>
      <c r="C49" s="28">
        <v>201810</v>
      </c>
      <c r="D49" s="28" t="s">
        <v>0</v>
      </c>
      <c r="E49" s="28" t="s">
        <v>132</v>
      </c>
      <c r="F49" s="28" t="s">
        <v>124</v>
      </c>
      <c r="G49" s="28">
        <v>1</v>
      </c>
      <c r="H49" s="28">
        <v>13</v>
      </c>
      <c r="I49" s="28">
        <v>13</v>
      </c>
      <c r="J49" s="28">
        <v>19</v>
      </c>
      <c r="K49" s="28">
        <v>13</v>
      </c>
      <c r="L49" s="30">
        <v>0.68421</v>
      </c>
      <c r="M49" s="28">
        <v>13</v>
      </c>
      <c r="N49" s="30">
        <v>0.68421</v>
      </c>
      <c r="O49" s="28">
        <v>3.375</v>
      </c>
      <c r="P49" s="28">
        <v>64.125</v>
      </c>
      <c r="Q49" s="28">
        <v>0.2</v>
      </c>
      <c r="R49" s="28">
        <v>320.63</v>
      </c>
      <c r="S49" s="28">
        <v>1.83</v>
      </c>
      <c r="T49" s="28">
        <v>35.04</v>
      </c>
    </row>
    <row r="50" spans="1:20">
      <c r="A50" s="27" t="s">
        <v>58</v>
      </c>
      <c r="B50" s="27" t="s">
        <v>24</v>
      </c>
      <c r="C50" s="27">
        <v>201720</v>
      </c>
      <c r="D50" s="27" t="s">
        <v>0</v>
      </c>
      <c r="E50" s="27" t="s">
        <v>133</v>
      </c>
      <c r="F50" s="27" t="s">
        <v>124</v>
      </c>
      <c r="G50" s="27">
        <v>1</v>
      </c>
      <c r="H50" s="27">
        <v>11</v>
      </c>
      <c r="I50" s="27">
        <v>11</v>
      </c>
      <c r="J50" s="27">
        <v>14</v>
      </c>
      <c r="K50" s="27">
        <v>11</v>
      </c>
      <c r="L50" s="29">
        <v>0.78571</v>
      </c>
      <c r="M50" s="27">
        <v>11</v>
      </c>
      <c r="N50" s="29">
        <v>0.78571</v>
      </c>
      <c r="O50" s="27">
        <v>3.375</v>
      </c>
      <c r="P50" s="27">
        <v>47.25</v>
      </c>
      <c r="Q50" s="27">
        <v>0.2</v>
      </c>
      <c r="R50" s="27">
        <v>236.25</v>
      </c>
      <c r="S50" s="27">
        <v>1.35</v>
      </c>
      <c r="T50" s="27">
        <v>35</v>
      </c>
    </row>
    <row r="51" spans="1:20">
      <c r="A51" s="28" t="s">
        <v>57</v>
      </c>
      <c r="B51" s="28" t="s">
        <v>18</v>
      </c>
      <c r="C51" s="28">
        <v>201610</v>
      </c>
      <c r="D51" s="28" t="s">
        <v>0</v>
      </c>
      <c r="E51" s="28" t="s">
        <v>134</v>
      </c>
      <c r="F51" s="28" t="s">
        <v>124</v>
      </c>
      <c r="G51" s="28">
        <v>1</v>
      </c>
      <c r="H51" s="28">
        <v>9</v>
      </c>
      <c r="I51" s="28">
        <v>9</v>
      </c>
      <c r="J51" s="28">
        <v>9</v>
      </c>
      <c r="K51" s="28">
        <v>9</v>
      </c>
      <c r="L51" s="30">
        <v>1</v>
      </c>
      <c r="M51" s="28">
        <v>9</v>
      </c>
      <c r="N51" s="30">
        <v>1</v>
      </c>
      <c r="O51" s="28">
        <v>3.375</v>
      </c>
      <c r="P51" s="28">
        <v>30.375</v>
      </c>
      <c r="Q51" s="28">
        <v>0.2</v>
      </c>
      <c r="R51" s="28">
        <v>151.88</v>
      </c>
      <c r="S51" s="28">
        <v>0.87</v>
      </c>
      <c r="T51" s="28">
        <v>34.91</v>
      </c>
    </row>
    <row r="52" spans="1:20">
      <c r="A52" s="27" t="s">
        <v>1</v>
      </c>
      <c r="B52" s="27" t="s">
        <v>26</v>
      </c>
      <c r="C52" s="27">
        <v>201810</v>
      </c>
      <c r="D52" s="27" t="s">
        <v>0</v>
      </c>
      <c r="E52" s="27" t="s">
        <v>134</v>
      </c>
      <c r="F52" s="27" t="s">
        <v>124</v>
      </c>
      <c r="G52" s="27">
        <v>1</v>
      </c>
      <c r="H52" s="27">
        <v>7</v>
      </c>
      <c r="I52" s="27">
        <v>8</v>
      </c>
      <c r="J52" s="27">
        <v>10</v>
      </c>
      <c r="K52" s="27">
        <v>7</v>
      </c>
      <c r="L52" s="29">
        <v>0.7</v>
      </c>
      <c r="M52" s="27">
        <v>8</v>
      </c>
      <c r="N52" s="29">
        <v>0.8</v>
      </c>
      <c r="O52" s="27">
        <v>3.375</v>
      </c>
      <c r="P52" s="27">
        <v>33.75</v>
      </c>
      <c r="Q52" s="27">
        <v>0.2</v>
      </c>
      <c r="R52" s="27">
        <v>168.75</v>
      </c>
      <c r="S52" s="27">
        <v>0.96</v>
      </c>
      <c r="T52" s="27">
        <v>35.16</v>
      </c>
    </row>
    <row r="53" spans="1:20">
      <c r="A53" s="28" t="s">
        <v>58</v>
      </c>
      <c r="B53" s="28" t="s">
        <v>22</v>
      </c>
      <c r="C53" s="28">
        <v>201710</v>
      </c>
      <c r="D53" s="28" t="s">
        <v>0</v>
      </c>
      <c r="E53" s="28" t="s">
        <v>135</v>
      </c>
      <c r="F53" s="28" t="s">
        <v>124</v>
      </c>
      <c r="G53" s="28">
        <v>1</v>
      </c>
      <c r="H53" s="28">
        <v>27</v>
      </c>
      <c r="I53" s="28">
        <v>29</v>
      </c>
      <c r="J53" s="28">
        <v>31</v>
      </c>
      <c r="K53" s="28">
        <v>27</v>
      </c>
      <c r="L53" s="30">
        <v>0.87097</v>
      </c>
      <c r="M53" s="28">
        <v>29</v>
      </c>
      <c r="N53" s="30">
        <v>0.93548</v>
      </c>
      <c r="O53" s="28">
        <v>3.375</v>
      </c>
      <c r="P53" s="28">
        <v>104.625</v>
      </c>
      <c r="Q53" s="28">
        <v>0.2</v>
      </c>
      <c r="R53" s="28">
        <v>523.13</v>
      </c>
      <c r="S53" s="28">
        <v>2.98</v>
      </c>
      <c r="T53" s="28">
        <v>35.11</v>
      </c>
    </row>
    <row r="54" spans="1:20">
      <c r="A54" s="27" t="s">
        <v>1</v>
      </c>
      <c r="B54" s="27" t="s">
        <v>28</v>
      </c>
      <c r="C54" s="27">
        <v>201820</v>
      </c>
      <c r="D54" s="27" t="s">
        <v>0</v>
      </c>
      <c r="E54" s="27" t="s">
        <v>135</v>
      </c>
      <c r="F54" s="27" t="s">
        <v>124</v>
      </c>
      <c r="G54" s="27">
        <v>1</v>
      </c>
      <c r="H54" s="27">
        <v>25</v>
      </c>
      <c r="I54" s="27">
        <v>26</v>
      </c>
      <c r="J54" s="27">
        <v>27</v>
      </c>
      <c r="K54" s="27">
        <v>25</v>
      </c>
      <c r="L54" s="29">
        <v>0.92593</v>
      </c>
      <c r="M54" s="27">
        <v>26</v>
      </c>
      <c r="N54" s="29">
        <v>0.96296</v>
      </c>
      <c r="O54" s="27">
        <v>3.375</v>
      </c>
      <c r="P54" s="27">
        <v>91.125</v>
      </c>
      <c r="Q54" s="27">
        <v>0.2</v>
      </c>
      <c r="R54" s="27">
        <v>455.63</v>
      </c>
      <c r="S54" s="27">
        <v>2.6</v>
      </c>
      <c r="T54" s="27">
        <v>35.05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T54"/>
  <mergeCells>
    <mergeCell ref="A1:T1"/>
    <mergeCell ref="A2:T2"/>
    <mergeCell ref="A3:T3"/>
  </mergeCells>
  <conditionalFormatting sqref="L6:L54">
    <cfRule type="cellIs" dxfId="0" priority="1" operator="lessThan">
      <formula>0.7</formula>
    </cfRule>
  </conditionalFormatting>
  <conditionalFormatting sqref="N6:N54">
    <cfRule type="cellIs" dxfId="1" priority="2" operator="lessThan">
      <formula>0.86</formula>
    </cfRule>
  </conditionalFormatting>
  <conditionalFormatting sqref="R6:R54">
    <cfRule type="cellIs" dxfId="2" priority="3" operator="lessThan">
      <formula>565</formula>
    </cfRule>
  </conditionalFormatting>
  <conditionalFormatting sqref="R6:R54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S95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8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8" customWidth="true" style="0"/>
    <col min="11" max="11" width="10" customWidth="true" style="0"/>
    <col min="12" max="12" width="10" customWidth="true" style="0"/>
    <col min="13" max="13" width="10" customWidth="true" style="0"/>
    <col min="14" max="14" width="11" customWidth="true" style="0"/>
    <col min="15" max="15" width="8" customWidth="true" style="0"/>
    <col min="16" max="16" width="8" customWidth="true" style="0"/>
    <col min="17" max="17" width="15" customWidth="true" style="0"/>
    <col min="18" max="18" width="12" customWidth="true" style="0"/>
    <col min="19" max="19" width="15" customWidth="true" style="0"/>
  </cols>
  <sheetData>
    <row r="1" spans="1:19">
      <c r="A1" s="6" t="s">
        <v>136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>
      <c r="A2" s="7" t="s">
        <v>137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>
      <c r="A3" s="7" t="s">
        <v>104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5" spans="1:19">
      <c r="A5" s="25" t="s">
        <v>105</v>
      </c>
      <c r="B5" s="26" t="s">
        <v>106</v>
      </c>
      <c r="C5" s="25" t="s">
        <v>107</v>
      </c>
      <c r="D5" s="25" t="s">
        <v>138</v>
      </c>
      <c r="E5" s="26" t="s">
        <v>108</v>
      </c>
      <c r="F5" s="26" t="s">
        <v>109</v>
      </c>
      <c r="G5" s="26" t="s">
        <v>110</v>
      </c>
      <c r="H5" s="26" t="s">
        <v>139</v>
      </c>
      <c r="I5" s="26" t="s">
        <v>140</v>
      </c>
      <c r="J5" s="25" t="s">
        <v>112</v>
      </c>
      <c r="K5" s="25" t="s">
        <v>113</v>
      </c>
      <c r="L5" s="25" t="s">
        <v>114</v>
      </c>
      <c r="M5" s="25" t="s">
        <v>116</v>
      </c>
      <c r="N5" s="25" t="s">
        <v>118</v>
      </c>
      <c r="O5" s="25" t="s">
        <v>141</v>
      </c>
      <c r="P5" s="25" t="s">
        <v>119</v>
      </c>
      <c r="Q5" s="25" t="s">
        <v>55</v>
      </c>
      <c r="R5" s="25" t="s">
        <v>120</v>
      </c>
      <c r="S5" s="25" t="s">
        <v>121</v>
      </c>
    </row>
    <row r="6" spans="1:19">
      <c r="A6" s="27" t="s">
        <v>57</v>
      </c>
      <c r="B6" s="27" t="s">
        <v>18</v>
      </c>
      <c r="C6" s="27">
        <v>201610</v>
      </c>
      <c r="D6" s="27">
        <v>10439</v>
      </c>
      <c r="E6" s="27" t="s">
        <v>0</v>
      </c>
      <c r="F6" s="27" t="s">
        <v>123</v>
      </c>
      <c r="G6" s="27" t="s">
        <v>124</v>
      </c>
      <c r="H6" s="27" t="s">
        <v>142</v>
      </c>
      <c r="I6" s="27" t="s">
        <v>143</v>
      </c>
      <c r="J6" s="27">
        <v>26</v>
      </c>
      <c r="K6" s="27">
        <v>27</v>
      </c>
      <c r="L6" s="27">
        <v>29</v>
      </c>
      <c r="M6" s="29">
        <v>0.89655</v>
      </c>
      <c r="N6" s="29">
        <v>0.93103</v>
      </c>
      <c r="O6" s="27">
        <v>2.79</v>
      </c>
      <c r="P6" s="27">
        <v>5.625</v>
      </c>
      <c r="Q6" s="27">
        <v>0.33</v>
      </c>
      <c r="R6" s="27">
        <v>494.32</v>
      </c>
      <c r="S6" s="27">
        <v>4.93</v>
      </c>
    </row>
    <row r="7" spans="1:19">
      <c r="A7" s="28" t="s">
        <v>57</v>
      </c>
      <c r="B7" s="28" t="s">
        <v>18</v>
      </c>
      <c r="C7" s="28">
        <v>201610</v>
      </c>
      <c r="D7" s="28">
        <v>10440</v>
      </c>
      <c r="E7" s="28" t="s">
        <v>0</v>
      </c>
      <c r="F7" s="28" t="s">
        <v>123</v>
      </c>
      <c r="G7" s="28" t="s">
        <v>125</v>
      </c>
      <c r="H7" s="28" t="s">
        <v>142</v>
      </c>
      <c r="I7" s="28" t="s">
        <v>144</v>
      </c>
      <c r="J7" s="28">
        <v>16</v>
      </c>
      <c r="K7" s="28">
        <v>20</v>
      </c>
      <c r="L7" s="28">
        <v>29</v>
      </c>
      <c r="M7" s="30">
        <v>0.55172</v>
      </c>
      <c r="N7" s="30">
        <v>0.68966</v>
      </c>
      <c r="O7" s="28">
        <v>1.76</v>
      </c>
      <c r="P7" s="28">
        <v>5.625</v>
      </c>
      <c r="Q7" s="28">
        <v>0.33</v>
      </c>
      <c r="R7" s="28">
        <v>494.32</v>
      </c>
      <c r="S7" s="28">
        <v>4.6</v>
      </c>
    </row>
    <row r="8" spans="1:19">
      <c r="A8" s="27" t="s">
        <v>57</v>
      </c>
      <c r="B8" s="27" t="s">
        <v>18</v>
      </c>
      <c r="C8" s="27">
        <v>201610</v>
      </c>
      <c r="D8" s="27">
        <v>10442</v>
      </c>
      <c r="E8" s="27" t="s">
        <v>0</v>
      </c>
      <c r="F8" s="27" t="s">
        <v>123</v>
      </c>
      <c r="G8" s="27" t="s">
        <v>124</v>
      </c>
      <c r="H8" s="27" t="s">
        <v>142</v>
      </c>
      <c r="I8" s="27" t="s">
        <v>145</v>
      </c>
      <c r="J8" s="27">
        <v>26</v>
      </c>
      <c r="K8" s="27">
        <v>26</v>
      </c>
      <c r="L8" s="27">
        <v>28</v>
      </c>
      <c r="M8" s="29">
        <v>0.92857</v>
      </c>
      <c r="N8" s="29">
        <v>0.92857</v>
      </c>
      <c r="O8" s="27">
        <v>3.5</v>
      </c>
      <c r="P8" s="27">
        <v>5.625</v>
      </c>
      <c r="Q8" s="27">
        <v>0.33</v>
      </c>
      <c r="R8" s="27">
        <v>477.27</v>
      </c>
      <c r="S8" s="27">
        <v>4.44</v>
      </c>
    </row>
    <row r="9" spans="1:19">
      <c r="A9" s="28" t="s">
        <v>57</v>
      </c>
      <c r="B9" s="28" t="s">
        <v>18</v>
      </c>
      <c r="C9" s="28">
        <v>201610</v>
      </c>
      <c r="D9" s="28">
        <v>10443</v>
      </c>
      <c r="E9" s="28" t="s">
        <v>0</v>
      </c>
      <c r="F9" s="28" t="s">
        <v>123</v>
      </c>
      <c r="G9" s="28" t="s">
        <v>125</v>
      </c>
      <c r="H9" s="28" t="s">
        <v>142</v>
      </c>
      <c r="I9" s="28" t="s">
        <v>146</v>
      </c>
      <c r="J9" s="28">
        <v>18</v>
      </c>
      <c r="K9" s="28">
        <v>18</v>
      </c>
      <c r="L9" s="28">
        <v>28</v>
      </c>
      <c r="M9" s="30">
        <v>0.64286</v>
      </c>
      <c r="N9" s="30">
        <v>0.64286</v>
      </c>
      <c r="O9" s="28">
        <v>2.07</v>
      </c>
      <c r="P9" s="28">
        <v>5.625</v>
      </c>
      <c r="Q9" s="28">
        <v>0.33</v>
      </c>
      <c r="R9" s="28">
        <v>477.27</v>
      </c>
      <c r="S9" s="28">
        <v>4.44</v>
      </c>
    </row>
    <row r="10" spans="1:19">
      <c r="A10" s="27" t="s">
        <v>57</v>
      </c>
      <c r="B10" s="27" t="s">
        <v>18</v>
      </c>
      <c r="C10" s="27">
        <v>201610</v>
      </c>
      <c r="D10" s="27">
        <v>10445</v>
      </c>
      <c r="E10" s="27" t="s">
        <v>0</v>
      </c>
      <c r="F10" s="27" t="s">
        <v>123</v>
      </c>
      <c r="G10" s="27" t="s">
        <v>125</v>
      </c>
      <c r="H10" s="27" t="s">
        <v>142</v>
      </c>
      <c r="I10" s="27" t="s">
        <v>146</v>
      </c>
      <c r="J10" s="27">
        <v>19</v>
      </c>
      <c r="K10" s="27">
        <v>20</v>
      </c>
      <c r="L10" s="27">
        <v>26</v>
      </c>
      <c r="M10" s="29">
        <v>0.73077</v>
      </c>
      <c r="N10" s="29">
        <v>0.76923</v>
      </c>
      <c r="O10" s="27">
        <v>2.46</v>
      </c>
      <c r="P10" s="27">
        <v>5.625</v>
      </c>
      <c r="Q10" s="27">
        <v>0.33</v>
      </c>
      <c r="R10" s="27">
        <v>443.18</v>
      </c>
      <c r="S10" s="27">
        <v>4.12</v>
      </c>
    </row>
    <row r="11" spans="1:19">
      <c r="A11" s="28" t="s">
        <v>57</v>
      </c>
      <c r="B11" s="28" t="s">
        <v>18</v>
      </c>
      <c r="C11" s="28">
        <v>201610</v>
      </c>
      <c r="D11" s="28">
        <v>10901</v>
      </c>
      <c r="E11" s="28" t="s">
        <v>0</v>
      </c>
      <c r="F11" s="28" t="s">
        <v>123</v>
      </c>
      <c r="G11" s="28" t="s">
        <v>124</v>
      </c>
      <c r="H11" s="28" t="s">
        <v>142</v>
      </c>
      <c r="I11" s="28" t="s">
        <v>143</v>
      </c>
      <c r="J11" s="28">
        <v>31</v>
      </c>
      <c r="K11" s="28">
        <v>33</v>
      </c>
      <c r="L11" s="28">
        <v>34</v>
      </c>
      <c r="M11" s="30">
        <v>0.91176</v>
      </c>
      <c r="N11" s="30">
        <v>0.97059</v>
      </c>
      <c r="O11" s="28">
        <v>3.06</v>
      </c>
      <c r="P11" s="28">
        <v>5.625</v>
      </c>
      <c r="Q11" s="28">
        <v>0.33</v>
      </c>
      <c r="R11" s="28">
        <v>579.55</v>
      </c>
      <c r="S11" s="28">
        <v>5.39</v>
      </c>
    </row>
    <row r="12" spans="1:19">
      <c r="A12" s="27" t="s">
        <v>57</v>
      </c>
      <c r="B12" s="27" t="s">
        <v>18</v>
      </c>
      <c r="C12" s="27">
        <v>201610</v>
      </c>
      <c r="D12" s="27">
        <v>10902</v>
      </c>
      <c r="E12" s="27" t="s">
        <v>0</v>
      </c>
      <c r="F12" s="27" t="s">
        <v>123</v>
      </c>
      <c r="G12" s="27" t="s">
        <v>124</v>
      </c>
      <c r="H12" s="27" t="s">
        <v>142</v>
      </c>
      <c r="I12" s="27" t="s">
        <v>145</v>
      </c>
      <c r="J12" s="27">
        <v>27</v>
      </c>
      <c r="K12" s="27">
        <v>27</v>
      </c>
      <c r="L12" s="27">
        <v>31</v>
      </c>
      <c r="M12" s="29">
        <v>0.87097</v>
      </c>
      <c r="N12" s="29">
        <v>0.87097</v>
      </c>
      <c r="O12" s="27">
        <v>3.1</v>
      </c>
      <c r="P12" s="27">
        <v>5.625</v>
      </c>
      <c r="Q12" s="27">
        <v>0.33</v>
      </c>
      <c r="R12" s="27">
        <v>528.41</v>
      </c>
      <c r="S12" s="27">
        <v>4.92</v>
      </c>
    </row>
    <row r="13" spans="1:19">
      <c r="A13" s="28" t="s">
        <v>57</v>
      </c>
      <c r="B13" s="28" t="s">
        <v>20</v>
      </c>
      <c r="C13" s="28">
        <v>201620</v>
      </c>
      <c r="D13" s="28">
        <v>20435</v>
      </c>
      <c r="E13" s="28" t="s">
        <v>0</v>
      </c>
      <c r="F13" s="28" t="s">
        <v>123</v>
      </c>
      <c r="G13" s="28" t="s">
        <v>124</v>
      </c>
      <c r="H13" s="28" t="s">
        <v>142</v>
      </c>
      <c r="I13" s="28" t="s">
        <v>143</v>
      </c>
      <c r="J13" s="28">
        <v>27</v>
      </c>
      <c r="K13" s="28">
        <v>27</v>
      </c>
      <c r="L13" s="28">
        <v>31</v>
      </c>
      <c r="M13" s="30">
        <v>0.87097</v>
      </c>
      <c r="N13" s="30">
        <v>0.87097</v>
      </c>
      <c r="O13" s="28">
        <v>2.94</v>
      </c>
      <c r="P13" s="28">
        <v>5.625</v>
      </c>
      <c r="Q13" s="28">
        <v>0.33</v>
      </c>
      <c r="R13" s="28">
        <v>528.41</v>
      </c>
      <c r="S13" s="28">
        <v>5.27</v>
      </c>
    </row>
    <row r="14" spans="1:19">
      <c r="A14" s="27" t="s">
        <v>57</v>
      </c>
      <c r="B14" s="27" t="s">
        <v>20</v>
      </c>
      <c r="C14" s="27">
        <v>201620</v>
      </c>
      <c r="D14" s="27">
        <v>20436</v>
      </c>
      <c r="E14" s="27" t="s">
        <v>0</v>
      </c>
      <c r="F14" s="27" t="s">
        <v>123</v>
      </c>
      <c r="G14" s="27" t="s">
        <v>125</v>
      </c>
      <c r="H14" s="27" t="s">
        <v>142</v>
      </c>
      <c r="I14" s="27" t="s">
        <v>144</v>
      </c>
      <c r="J14" s="27">
        <v>11</v>
      </c>
      <c r="K14" s="27">
        <v>15</v>
      </c>
      <c r="L14" s="27">
        <v>22</v>
      </c>
      <c r="M14" s="29">
        <v>0.5</v>
      </c>
      <c r="N14" s="29">
        <v>0.68182</v>
      </c>
      <c r="O14" s="27">
        <v>1.55</v>
      </c>
      <c r="P14" s="27">
        <v>5.625</v>
      </c>
      <c r="Q14" s="27">
        <v>0.33</v>
      </c>
      <c r="R14" s="27">
        <v>375</v>
      </c>
      <c r="S14" s="27">
        <v>3.49</v>
      </c>
    </row>
    <row r="15" spans="1:19">
      <c r="A15" s="28" t="s">
        <v>57</v>
      </c>
      <c r="B15" s="28" t="s">
        <v>20</v>
      </c>
      <c r="C15" s="28">
        <v>201620</v>
      </c>
      <c r="D15" s="28">
        <v>20438</v>
      </c>
      <c r="E15" s="28" t="s">
        <v>0</v>
      </c>
      <c r="F15" s="28" t="s">
        <v>123</v>
      </c>
      <c r="G15" s="28" t="s">
        <v>124</v>
      </c>
      <c r="H15" s="28" t="s">
        <v>142</v>
      </c>
      <c r="I15" s="28" t="s">
        <v>145</v>
      </c>
      <c r="J15" s="28">
        <v>32</v>
      </c>
      <c r="K15" s="28">
        <v>32</v>
      </c>
      <c r="L15" s="28">
        <v>36</v>
      </c>
      <c r="M15" s="30">
        <v>0.88889</v>
      </c>
      <c r="N15" s="30">
        <v>0.88889</v>
      </c>
      <c r="O15" s="28">
        <v>3.28</v>
      </c>
      <c r="P15" s="28">
        <v>5.625</v>
      </c>
      <c r="Q15" s="28">
        <v>0.33</v>
      </c>
      <c r="R15" s="28">
        <v>613.64</v>
      </c>
      <c r="S15" s="28">
        <v>5.71</v>
      </c>
    </row>
    <row r="16" spans="1:19">
      <c r="A16" s="27" t="s">
        <v>57</v>
      </c>
      <c r="B16" s="27" t="s">
        <v>20</v>
      </c>
      <c r="C16" s="27">
        <v>201620</v>
      </c>
      <c r="D16" s="27">
        <v>20439</v>
      </c>
      <c r="E16" s="27" t="s">
        <v>0</v>
      </c>
      <c r="F16" s="27" t="s">
        <v>123</v>
      </c>
      <c r="G16" s="27" t="s">
        <v>124</v>
      </c>
      <c r="H16" s="27" t="s">
        <v>142</v>
      </c>
      <c r="I16" s="27" t="s">
        <v>147</v>
      </c>
      <c r="J16" s="27">
        <v>22</v>
      </c>
      <c r="K16" s="27">
        <v>28</v>
      </c>
      <c r="L16" s="27">
        <v>30</v>
      </c>
      <c r="M16" s="29">
        <v>0.73333</v>
      </c>
      <c r="N16" s="29">
        <v>0.93333</v>
      </c>
      <c r="O16" s="27">
        <v>2.17</v>
      </c>
      <c r="P16" s="27">
        <v>5.625</v>
      </c>
      <c r="Q16" s="27">
        <v>0.33</v>
      </c>
      <c r="R16" s="27">
        <v>511.36</v>
      </c>
      <c r="S16" s="27">
        <v>4.76</v>
      </c>
    </row>
    <row r="17" spans="1:19">
      <c r="A17" s="28" t="s">
        <v>57</v>
      </c>
      <c r="B17" s="28" t="s">
        <v>20</v>
      </c>
      <c r="C17" s="28">
        <v>201620</v>
      </c>
      <c r="D17" s="28">
        <v>20441</v>
      </c>
      <c r="E17" s="28" t="s">
        <v>0</v>
      </c>
      <c r="F17" s="28" t="s">
        <v>123</v>
      </c>
      <c r="G17" s="28" t="s">
        <v>124</v>
      </c>
      <c r="H17" s="28" t="s">
        <v>142</v>
      </c>
      <c r="I17" s="28" t="s">
        <v>145</v>
      </c>
      <c r="J17" s="28">
        <v>31</v>
      </c>
      <c r="K17" s="28">
        <v>31</v>
      </c>
      <c r="L17" s="28">
        <v>34</v>
      </c>
      <c r="M17" s="30">
        <v>0.91176</v>
      </c>
      <c r="N17" s="30">
        <v>0.91176</v>
      </c>
      <c r="O17" s="28">
        <v>3.56</v>
      </c>
      <c r="P17" s="28">
        <v>5.625</v>
      </c>
      <c r="Q17" s="28">
        <v>0.33</v>
      </c>
      <c r="R17" s="28">
        <v>579.55</v>
      </c>
      <c r="S17" s="28">
        <v>5.39</v>
      </c>
    </row>
    <row r="18" spans="1:19">
      <c r="A18" s="27" t="s">
        <v>57</v>
      </c>
      <c r="B18" s="27" t="s">
        <v>20</v>
      </c>
      <c r="C18" s="27">
        <v>201620</v>
      </c>
      <c r="D18" s="27">
        <v>20922</v>
      </c>
      <c r="E18" s="27" t="s">
        <v>0</v>
      </c>
      <c r="F18" s="27" t="s">
        <v>123</v>
      </c>
      <c r="G18" s="27" t="s">
        <v>125</v>
      </c>
      <c r="H18" s="27" t="s">
        <v>142</v>
      </c>
      <c r="I18" s="27" t="s">
        <v>143</v>
      </c>
      <c r="J18" s="27">
        <v>23</v>
      </c>
      <c r="K18" s="27">
        <v>25</v>
      </c>
      <c r="L18" s="27">
        <v>27</v>
      </c>
      <c r="M18" s="29">
        <v>0.85185</v>
      </c>
      <c r="N18" s="29">
        <v>0.92593</v>
      </c>
      <c r="O18" s="27">
        <v>2.93</v>
      </c>
      <c r="P18" s="27">
        <v>5.625</v>
      </c>
      <c r="Q18" s="27">
        <v>0.33</v>
      </c>
      <c r="R18" s="27">
        <v>460.23</v>
      </c>
      <c r="S18" s="27">
        <v>4.28</v>
      </c>
    </row>
    <row r="19" spans="1:19">
      <c r="A19" s="28" t="s">
        <v>57</v>
      </c>
      <c r="B19" s="28" t="s">
        <v>21</v>
      </c>
      <c r="C19" s="28">
        <v>201630</v>
      </c>
      <c r="D19" s="28">
        <v>30166</v>
      </c>
      <c r="E19" s="28" t="s">
        <v>0</v>
      </c>
      <c r="F19" s="28" t="s">
        <v>123</v>
      </c>
      <c r="G19" s="28" t="s">
        <v>124</v>
      </c>
      <c r="H19" s="28" t="s">
        <v>142</v>
      </c>
      <c r="I19" s="28" t="s">
        <v>145</v>
      </c>
      <c r="J19" s="28">
        <v>23</v>
      </c>
      <c r="K19" s="28">
        <v>23</v>
      </c>
      <c r="L19" s="28">
        <v>24</v>
      </c>
      <c r="M19" s="30">
        <v>0.95833</v>
      </c>
      <c r="N19" s="30">
        <v>0.95833</v>
      </c>
      <c r="O19" s="28">
        <v>3.83</v>
      </c>
      <c r="P19" s="28">
        <v>5.625</v>
      </c>
      <c r="Q19" s="28">
        <v>0.33</v>
      </c>
      <c r="R19" s="28">
        <v>409.09</v>
      </c>
      <c r="S19" s="28">
        <v>3.81</v>
      </c>
    </row>
    <row r="20" spans="1:19">
      <c r="A20" s="27" t="s">
        <v>57</v>
      </c>
      <c r="B20" s="27" t="s">
        <v>21</v>
      </c>
      <c r="C20" s="27">
        <v>201630</v>
      </c>
      <c r="D20" s="27">
        <v>30167</v>
      </c>
      <c r="E20" s="27" t="s">
        <v>0</v>
      </c>
      <c r="F20" s="27" t="s">
        <v>123</v>
      </c>
      <c r="G20" s="27" t="s">
        <v>124</v>
      </c>
      <c r="H20" s="27" t="s">
        <v>142</v>
      </c>
      <c r="I20" s="27" t="s">
        <v>146</v>
      </c>
      <c r="J20" s="27">
        <v>17</v>
      </c>
      <c r="K20" s="27">
        <v>18</v>
      </c>
      <c r="L20" s="27">
        <v>18</v>
      </c>
      <c r="M20" s="29">
        <v>0.94444</v>
      </c>
      <c r="N20" s="29">
        <v>1</v>
      </c>
      <c r="O20" s="27">
        <v>3.33</v>
      </c>
      <c r="P20" s="27">
        <v>5.625</v>
      </c>
      <c r="Q20" s="27">
        <v>0.33</v>
      </c>
      <c r="R20" s="27">
        <v>306.82</v>
      </c>
      <c r="S20" s="27">
        <v>2.86</v>
      </c>
    </row>
    <row r="21" spans="1:19">
      <c r="A21" s="28" t="s">
        <v>58</v>
      </c>
      <c r="B21" s="28" t="s">
        <v>22</v>
      </c>
      <c r="C21" s="28">
        <v>201710</v>
      </c>
      <c r="D21" s="28">
        <v>10439</v>
      </c>
      <c r="E21" s="28" t="s">
        <v>0</v>
      </c>
      <c r="F21" s="28" t="s">
        <v>123</v>
      </c>
      <c r="G21" s="28" t="s">
        <v>124</v>
      </c>
      <c r="H21" s="28" t="s">
        <v>142</v>
      </c>
      <c r="I21" s="28" t="s">
        <v>143</v>
      </c>
      <c r="J21" s="28">
        <v>22</v>
      </c>
      <c r="K21" s="28">
        <v>25</v>
      </c>
      <c r="L21" s="28">
        <v>27</v>
      </c>
      <c r="M21" s="30">
        <v>0.81481</v>
      </c>
      <c r="N21" s="30">
        <v>0.92593</v>
      </c>
      <c r="O21" s="28">
        <v>2.85</v>
      </c>
      <c r="P21" s="28">
        <v>5.625</v>
      </c>
      <c r="Q21" s="28">
        <v>0.33</v>
      </c>
      <c r="R21" s="28">
        <v>460.23</v>
      </c>
      <c r="S21" s="28">
        <v>4.59</v>
      </c>
    </row>
    <row r="22" spans="1:19">
      <c r="A22" s="27" t="s">
        <v>58</v>
      </c>
      <c r="B22" s="27" t="s">
        <v>22</v>
      </c>
      <c r="C22" s="27">
        <v>201710</v>
      </c>
      <c r="D22" s="27">
        <v>10440</v>
      </c>
      <c r="E22" s="27" t="s">
        <v>0</v>
      </c>
      <c r="F22" s="27" t="s">
        <v>123</v>
      </c>
      <c r="G22" s="27" t="s">
        <v>125</v>
      </c>
      <c r="H22" s="27" t="s">
        <v>142</v>
      </c>
      <c r="I22" s="27" t="s">
        <v>144</v>
      </c>
      <c r="J22" s="27">
        <v>20</v>
      </c>
      <c r="K22" s="27">
        <v>22</v>
      </c>
      <c r="L22" s="27">
        <v>28</v>
      </c>
      <c r="M22" s="29">
        <v>0.71429</v>
      </c>
      <c r="N22" s="29">
        <v>0.78571</v>
      </c>
      <c r="O22" s="27">
        <v>2.32</v>
      </c>
      <c r="P22" s="27">
        <v>5.625</v>
      </c>
      <c r="Q22" s="27">
        <v>0.33</v>
      </c>
      <c r="R22" s="27">
        <v>477.27</v>
      </c>
      <c r="S22" s="27">
        <v>4.44</v>
      </c>
    </row>
    <row r="23" spans="1:19">
      <c r="A23" s="28" t="s">
        <v>58</v>
      </c>
      <c r="B23" s="28" t="s">
        <v>22</v>
      </c>
      <c r="C23" s="28">
        <v>201710</v>
      </c>
      <c r="D23" s="28">
        <v>10442</v>
      </c>
      <c r="E23" s="28" t="s">
        <v>0</v>
      </c>
      <c r="F23" s="28" t="s">
        <v>123</v>
      </c>
      <c r="G23" s="28" t="s">
        <v>124</v>
      </c>
      <c r="H23" s="28" t="s">
        <v>142</v>
      </c>
      <c r="I23" s="28" t="s">
        <v>145</v>
      </c>
      <c r="J23" s="28">
        <v>33</v>
      </c>
      <c r="K23" s="28">
        <v>34</v>
      </c>
      <c r="L23" s="28">
        <v>35</v>
      </c>
      <c r="M23" s="30">
        <v>0.94286</v>
      </c>
      <c r="N23" s="30">
        <v>0.97143</v>
      </c>
      <c r="O23" s="28">
        <v>3.49</v>
      </c>
      <c r="P23" s="28">
        <v>5.625</v>
      </c>
      <c r="Q23" s="28">
        <v>0.33</v>
      </c>
      <c r="R23" s="28">
        <v>596.59</v>
      </c>
      <c r="S23" s="28">
        <v>5.55</v>
      </c>
    </row>
    <row r="24" spans="1:19">
      <c r="A24" s="27" t="s">
        <v>58</v>
      </c>
      <c r="B24" s="27" t="s">
        <v>22</v>
      </c>
      <c r="C24" s="27">
        <v>201710</v>
      </c>
      <c r="D24" s="27">
        <v>10443</v>
      </c>
      <c r="E24" s="27" t="s">
        <v>0</v>
      </c>
      <c r="F24" s="27" t="s">
        <v>123</v>
      </c>
      <c r="G24" s="27" t="s">
        <v>124</v>
      </c>
      <c r="H24" s="27" t="s">
        <v>142</v>
      </c>
      <c r="I24" s="27" t="s">
        <v>146</v>
      </c>
      <c r="J24" s="27">
        <v>26</v>
      </c>
      <c r="K24" s="27">
        <v>27</v>
      </c>
      <c r="L24" s="27">
        <v>32</v>
      </c>
      <c r="M24" s="29">
        <v>0.8125</v>
      </c>
      <c r="N24" s="29">
        <v>0.84375</v>
      </c>
      <c r="O24" s="27">
        <v>2.75</v>
      </c>
      <c r="P24" s="27">
        <v>5.625</v>
      </c>
      <c r="Q24" s="27">
        <v>0.33</v>
      </c>
      <c r="R24" s="27">
        <v>545.45</v>
      </c>
      <c r="S24" s="27">
        <v>5.07</v>
      </c>
    </row>
    <row r="25" spans="1:19">
      <c r="A25" s="28" t="s">
        <v>58</v>
      </c>
      <c r="B25" s="28" t="s">
        <v>22</v>
      </c>
      <c r="C25" s="28">
        <v>201710</v>
      </c>
      <c r="D25" s="28">
        <v>10445</v>
      </c>
      <c r="E25" s="28" t="s">
        <v>0</v>
      </c>
      <c r="F25" s="28" t="s">
        <v>123</v>
      </c>
      <c r="G25" s="28" t="s">
        <v>125</v>
      </c>
      <c r="H25" s="28" t="s">
        <v>142</v>
      </c>
      <c r="I25" s="28" t="s">
        <v>148</v>
      </c>
      <c r="J25" s="28">
        <v>24</v>
      </c>
      <c r="K25" s="28">
        <v>24</v>
      </c>
      <c r="L25" s="28">
        <v>26</v>
      </c>
      <c r="M25" s="30">
        <v>0.92308</v>
      </c>
      <c r="N25" s="30">
        <v>0.92308</v>
      </c>
      <c r="O25" s="28">
        <v>3.04</v>
      </c>
      <c r="P25" s="28">
        <v>5.625</v>
      </c>
      <c r="Q25" s="28">
        <v>0.33</v>
      </c>
      <c r="R25" s="28">
        <v>443.18</v>
      </c>
      <c r="S25" s="28">
        <v>4.12</v>
      </c>
    </row>
    <row r="26" spans="1:19">
      <c r="A26" s="27" t="s">
        <v>58</v>
      </c>
      <c r="B26" s="27" t="s">
        <v>22</v>
      </c>
      <c r="C26" s="27">
        <v>201710</v>
      </c>
      <c r="D26" s="27">
        <v>10901</v>
      </c>
      <c r="E26" s="27" t="s">
        <v>0</v>
      </c>
      <c r="F26" s="27" t="s">
        <v>123</v>
      </c>
      <c r="G26" s="27" t="s">
        <v>124</v>
      </c>
      <c r="H26" s="27" t="s">
        <v>142</v>
      </c>
      <c r="I26" s="27" t="s">
        <v>143</v>
      </c>
      <c r="J26" s="27">
        <v>35</v>
      </c>
      <c r="K26" s="27">
        <v>37</v>
      </c>
      <c r="L26" s="27">
        <v>37</v>
      </c>
      <c r="M26" s="29">
        <v>0.94595</v>
      </c>
      <c r="N26" s="29">
        <v>1</v>
      </c>
      <c r="O26" s="27">
        <v>3.43</v>
      </c>
      <c r="P26" s="27">
        <v>5.625</v>
      </c>
      <c r="Q26" s="27">
        <v>0.33</v>
      </c>
      <c r="R26" s="27">
        <v>630.68</v>
      </c>
      <c r="S26" s="27">
        <v>5.87</v>
      </c>
    </row>
    <row r="27" spans="1:19">
      <c r="A27" s="28" t="s">
        <v>58</v>
      </c>
      <c r="B27" s="28" t="s">
        <v>22</v>
      </c>
      <c r="C27" s="28">
        <v>201710</v>
      </c>
      <c r="D27" s="28">
        <v>10902</v>
      </c>
      <c r="E27" s="28" t="s">
        <v>0</v>
      </c>
      <c r="F27" s="28" t="s">
        <v>123</v>
      </c>
      <c r="G27" s="28" t="s">
        <v>124</v>
      </c>
      <c r="H27" s="28" t="s">
        <v>142</v>
      </c>
      <c r="I27" s="28" t="s">
        <v>145</v>
      </c>
      <c r="J27" s="28">
        <v>29</v>
      </c>
      <c r="K27" s="28">
        <v>30</v>
      </c>
      <c r="L27" s="28">
        <v>33</v>
      </c>
      <c r="M27" s="30">
        <v>0.87879</v>
      </c>
      <c r="N27" s="30">
        <v>0.90909</v>
      </c>
      <c r="O27" s="28">
        <v>3.36</v>
      </c>
      <c r="P27" s="28">
        <v>5.625</v>
      </c>
      <c r="Q27" s="28">
        <v>0.33</v>
      </c>
      <c r="R27" s="28">
        <v>562.5</v>
      </c>
      <c r="S27" s="28">
        <v>5.23</v>
      </c>
    </row>
    <row r="28" spans="1:19">
      <c r="A28" s="27" t="s">
        <v>58</v>
      </c>
      <c r="B28" s="27" t="s">
        <v>24</v>
      </c>
      <c r="C28" s="27">
        <v>201720</v>
      </c>
      <c r="D28" s="27">
        <v>20435</v>
      </c>
      <c r="E28" s="27" t="s">
        <v>0</v>
      </c>
      <c r="F28" s="27" t="s">
        <v>123</v>
      </c>
      <c r="G28" s="27" t="s">
        <v>124</v>
      </c>
      <c r="H28" s="27" t="s">
        <v>142</v>
      </c>
      <c r="I28" s="27" t="s">
        <v>143</v>
      </c>
      <c r="J28" s="27">
        <v>29</v>
      </c>
      <c r="K28" s="27">
        <v>31</v>
      </c>
      <c r="L28" s="27">
        <v>32</v>
      </c>
      <c r="M28" s="29">
        <v>0.90625</v>
      </c>
      <c r="N28" s="29">
        <v>0.96875</v>
      </c>
      <c r="O28" s="27">
        <v>3.34</v>
      </c>
      <c r="P28" s="27">
        <v>5.625</v>
      </c>
      <c r="Q28" s="27">
        <v>0.33</v>
      </c>
      <c r="R28" s="27">
        <v>545.45</v>
      </c>
      <c r="S28" s="27">
        <v>5.44</v>
      </c>
    </row>
    <row r="29" spans="1:19">
      <c r="A29" s="28" t="s">
        <v>58</v>
      </c>
      <c r="B29" s="28" t="s">
        <v>24</v>
      </c>
      <c r="C29" s="28">
        <v>201720</v>
      </c>
      <c r="D29" s="28">
        <v>20436</v>
      </c>
      <c r="E29" s="28" t="s">
        <v>0</v>
      </c>
      <c r="F29" s="28" t="s">
        <v>123</v>
      </c>
      <c r="G29" s="28" t="s">
        <v>125</v>
      </c>
      <c r="H29" s="28" t="s">
        <v>142</v>
      </c>
      <c r="I29" s="28" t="s">
        <v>144</v>
      </c>
      <c r="J29" s="28">
        <v>13</v>
      </c>
      <c r="K29" s="28">
        <v>18</v>
      </c>
      <c r="L29" s="28">
        <v>23</v>
      </c>
      <c r="M29" s="30">
        <v>0.56522</v>
      </c>
      <c r="N29" s="30">
        <v>0.78261</v>
      </c>
      <c r="O29" s="28">
        <v>1.96</v>
      </c>
      <c r="P29" s="28">
        <v>5.625</v>
      </c>
      <c r="Q29" s="28">
        <v>0.33</v>
      </c>
      <c r="R29" s="28">
        <v>392.05</v>
      </c>
      <c r="S29" s="28">
        <v>3.65</v>
      </c>
    </row>
    <row r="30" spans="1:19">
      <c r="A30" s="27" t="s">
        <v>58</v>
      </c>
      <c r="B30" s="27" t="s">
        <v>24</v>
      </c>
      <c r="C30" s="27">
        <v>201720</v>
      </c>
      <c r="D30" s="27">
        <v>20438</v>
      </c>
      <c r="E30" s="27" t="s">
        <v>0</v>
      </c>
      <c r="F30" s="27" t="s">
        <v>123</v>
      </c>
      <c r="G30" s="27" t="s">
        <v>124</v>
      </c>
      <c r="H30" s="27" t="s">
        <v>142</v>
      </c>
      <c r="I30" s="27" t="s">
        <v>145</v>
      </c>
      <c r="J30" s="27">
        <v>31</v>
      </c>
      <c r="K30" s="27">
        <v>31</v>
      </c>
      <c r="L30" s="27">
        <v>33</v>
      </c>
      <c r="M30" s="29">
        <v>0.93939</v>
      </c>
      <c r="N30" s="29">
        <v>0.93939</v>
      </c>
      <c r="O30" s="27">
        <v>3.64</v>
      </c>
      <c r="P30" s="27">
        <v>5.625</v>
      </c>
      <c r="Q30" s="27">
        <v>0.33</v>
      </c>
      <c r="R30" s="27">
        <v>562.5</v>
      </c>
      <c r="S30" s="27">
        <v>5.23</v>
      </c>
    </row>
    <row r="31" spans="1:19">
      <c r="A31" s="28" t="s">
        <v>58</v>
      </c>
      <c r="B31" s="28" t="s">
        <v>24</v>
      </c>
      <c r="C31" s="28">
        <v>201720</v>
      </c>
      <c r="D31" s="28">
        <v>20439</v>
      </c>
      <c r="E31" s="28" t="s">
        <v>0</v>
      </c>
      <c r="F31" s="28" t="s">
        <v>123</v>
      </c>
      <c r="G31" s="28" t="s">
        <v>124</v>
      </c>
      <c r="H31" s="28" t="s">
        <v>142</v>
      </c>
      <c r="I31" s="28" t="s">
        <v>143</v>
      </c>
      <c r="J31" s="28">
        <v>21</v>
      </c>
      <c r="K31" s="28">
        <v>25</v>
      </c>
      <c r="L31" s="28">
        <v>27</v>
      </c>
      <c r="M31" s="30">
        <v>0.77778</v>
      </c>
      <c r="N31" s="30">
        <v>0.92593</v>
      </c>
      <c r="O31" s="28">
        <v>2.7</v>
      </c>
      <c r="P31" s="28">
        <v>5.625</v>
      </c>
      <c r="Q31" s="28">
        <v>0.33</v>
      </c>
      <c r="R31" s="28">
        <v>460.23</v>
      </c>
      <c r="S31" s="28">
        <v>4.28</v>
      </c>
    </row>
    <row r="32" spans="1:19">
      <c r="A32" s="27" t="s">
        <v>58</v>
      </c>
      <c r="B32" s="27" t="s">
        <v>24</v>
      </c>
      <c r="C32" s="27">
        <v>201720</v>
      </c>
      <c r="D32" s="27">
        <v>20441</v>
      </c>
      <c r="E32" s="27" t="s">
        <v>0</v>
      </c>
      <c r="F32" s="27" t="s">
        <v>123</v>
      </c>
      <c r="G32" s="27" t="s">
        <v>124</v>
      </c>
      <c r="H32" s="27" t="s">
        <v>142</v>
      </c>
      <c r="I32" s="27" t="s">
        <v>145</v>
      </c>
      <c r="J32" s="27">
        <v>31</v>
      </c>
      <c r="K32" s="27">
        <v>33</v>
      </c>
      <c r="L32" s="27">
        <v>35</v>
      </c>
      <c r="M32" s="29">
        <v>0.88571</v>
      </c>
      <c r="N32" s="29">
        <v>0.94286</v>
      </c>
      <c r="O32" s="27">
        <v>3.37</v>
      </c>
      <c r="P32" s="27">
        <v>5.625</v>
      </c>
      <c r="Q32" s="27">
        <v>0.33</v>
      </c>
      <c r="R32" s="27">
        <v>596.59</v>
      </c>
      <c r="S32" s="27">
        <v>5.55</v>
      </c>
    </row>
    <row r="33" spans="1:19">
      <c r="A33" s="28" t="s">
        <v>58</v>
      </c>
      <c r="B33" s="28" t="s">
        <v>24</v>
      </c>
      <c r="C33" s="28">
        <v>201720</v>
      </c>
      <c r="D33" s="28">
        <v>20922</v>
      </c>
      <c r="E33" s="28" t="s">
        <v>0</v>
      </c>
      <c r="F33" s="28" t="s">
        <v>123</v>
      </c>
      <c r="G33" s="28" t="s">
        <v>125</v>
      </c>
      <c r="H33" s="28" t="s">
        <v>142</v>
      </c>
      <c r="I33" s="28" t="s">
        <v>148</v>
      </c>
      <c r="J33" s="28">
        <v>17</v>
      </c>
      <c r="K33" s="28">
        <v>23</v>
      </c>
      <c r="L33" s="28">
        <v>28</v>
      </c>
      <c r="M33" s="30">
        <v>0.60714</v>
      </c>
      <c r="N33" s="30">
        <v>0.82143</v>
      </c>
      <c r="O33" s="28">
        <v>2.29</v>
      </c>
      <c r="P33" s="28">
        <v>5.625</v>
      </c>
      <c r="Q33" s="28">
        <v>0.33</v>
      </c>
      <c r="R33" s="28">
        <v>477.27</v>
      </c>
      <c r="S33" s="28">
        <v>4.44</v>
      </c>
    </row>
    <row r="34" spans="1:19">
      <c r="A34" s="27" t="s">
        <v>58</v>
      </c>
      <c r="B34" s="27" t="s">
        <v>24</v>
      </c>
      <c r="C34" s="27">
        <v>201720</v>
      </c>
      <c r="D34" s="27">
        <v>21168</v>
      </c>
      <c r="E34" s="27" t="s">
        <v>0</v>
      </c>
      <c r="F34" s="27" t="s">
        <v>123</v>
      </c>
      <c r="G34" s="27" t="s">
        <v>125</v>
      </c>
      <c r="H34" s="27" t="s">
        <v>142</v>
      </c>
      <c r="I34" s="27" t="s">
        <v>148</v>
      </c>
      <c r="J34" s="27">
        <v>14</v>
      </c>
      <c r="K34" s="27">
        <v>19</v>
      </c>
      <c r="L34" s="27">
        <v>19</v>
      </c>
      <c r="M34" s="29">
        <v>0.73684</v>
      </c>
      <c r="N34" s="29">
        <v>1</v>
      </c>
      <c r="O34" s="27">
        <v>2.53</v>
      </c>
      <c r="P34" s="27">
        <v>5.625</v>
      </c>
      <c r="Q34" s="27">
        <v>0.33</v>
      </c>
      <c r="R34" s="27">
        <v>323.86</v>
      </c>
      <c r="S34" s="27">
        <v>3.01</v>
      </c>
    </row>
    <row r="35" spans="1:19">
      <c r="A35" s="28" t="s">
        <v>1</v>
      </c>
      <c r="B35" s="28" t="s">
        <v>26</v>
      </c>
      <c r="C35" s="28">
        <v>201810</v>
      </c>
      <c r="D35" s="28">
        <v>10439</v>
      </c>
      <c r="E35" s="28" t="s">
        <v>0</v>
      </c>
      <c r="F35" s="28" t="s">
        <v>123</v>
      </c>
      <c r="G35" s="28" t="s">
        <v>124</v>
      </c>
      <c r="H35" s="28" t="s">
        <v>142</v>
      </c>
      <c r="I35" s="28" t="s">
        <v>143</v>
      </c>
      <c r="J35" s="28">
        <v>33</v>
      </c>
      <c r="K35" s="28">
        <v>34</v>
      </c>
      <c r="L35" s="28">
        <v>34</v>
      </c>
      <c r="M35" s="30">
        <v>0.97059</v>
      </c>
      <c r="N35" s="30">
        <v>1</v>
      </c>
      <c r="O35" s="28">
        <v>3.74</v>
      </c>
      <c r="P35" s="28">
        <v>5.625</v>
      </c>
      <c r="Q35" s="28">
        <v>0.33</v>
      </c>
      <c r="R35" s="28">
        <v>579.55</v>
      </c>
      <c r="S35" s="28">
        <v>5.78</v>
      </c>
    </row>
    <row r="36" spans="1:19">
      <c r="A36" s="27" t="s">
        <v>1</v>
      </c>
      <c r="B36" s="27" t="s">
        <v>26</v>
      </c>
      <c r="C36" s="27">
        <v>201810</v>
      </c>
      <c r="D36" s="27">
        <v>10440</v>
      </c>
      <c r="E36" s="27" t="s">
        <v>0</v>
      </c>
      <c r="F36" s="27" t="s">
        <v>123</v>
      </c>
      <c r="G36" s="27" t="s">
        <v>125</v>
      </c>
      <c r="H36" s="27" t="s">
        <v>142</v>
      </c>
      <c r="I36" s="27" t="s">
        <v>144</v>
      </c>
      <c r="J36" s="27">
        <v>16</v>
      </c>
      <c r="K36" s="27">
        <v>21</v>
      </c>
      <c r="L36" s="27">
        <v>27</v>
      </c>
      <c r="M36" s="29">
        <v>0.59259</v>
      </c>
      <c r="N36" s="29">
        <v>0.77778</v>
      </c>
      <c r="O36" s="27">
        <v>2</v>
      </c>
      <c r="P36" s="27">
        <v>5.625</v>
      </c>
      <c r="Q36" s="27">
        <v>0.33</v>
      </c>
      <c r="R36" s="27">
        <v>460.23</v>
      </c>
      <c r="S36" s="27">
        <v>4.59</v>
      </c>
    </row>
    <row r="37" spans="1:19">
      <c r="A37" s="28" t="s">
        <v>1</v>
      </c>
      <c r="B37" s="28" t="s">
        <v>26</v>
      </c>
      <c r="C37" s="28">
        <v>201810</v>
      </c>
      <c r="D37" s="28">
        <v>10442</v>
      </c>
      <c r="E37" s="28" t="s">
        <v>0</v>
      </c>
      <c r="F37" s="28" t="s">
        <v>123</v>
      </c>
      <c r="G37" s="28" t="s">
        <v>124</v>
      </c>
      <c r="H37" s="28" t="s">
        <v>142</v>
      </c>
      <c r="I37" s="28" t="s">
        <v>145</v>
      </c>
      <c r="J37" s="28">
        <v>29</v>
      </c>
      <c r="K37" s="28">
        <v>31</v>
      </c>
      <c r="L37" s="28">
        <v>32</v>
      </c>
      <c r="M37" s="30">
        <v>0.90625</v>
      </c>
      <c r="N37" s="30">
        <v>0.96875</v>
      </c>
      <c r="O37" s="28">
        <v>3.31</v>
      </c>
      <c r="P37" s="28">
        <v>5.625</v>
      </c>
      <c r="Q37" s="28">
        <v>0.33</v>
      </c>
      <c r="R37" s="28">
        <v>545.45</v>
      </c>
      <c r="S37" s="28">
        <v>5.44</v>
      </c>
    </row>
    <row r="38" spans="1:19">
      <c r="A38" s="27" t="s">
        <v>1</v>
      </c>
      <c r="B38" s="27" t="s">
        <v>26</v>
      </c>
      <c r="C38" s="27">
        <v>201810</v>
      </c>
      <c r="D38" s="27">
        <v>10443</v>
      </c>
      <c r="E38" s="27" t="s">
        <v>0</v>
      </c>
      <c r="F38" s="27" t="s">
        <v>123</v>
      </c>
      <c r="G38" s="27" t="s">
        <v>124</v>
      </c>
      <c r="H38" s="27" t="s">
        <v>142</v>
      </c>
      <c r="I38" s="27" t="s">
        <v>146</v>
      </c>
      <c r="J38" s="27">
        <v>32</v>
      </c>
      <c r="K38" s="27">
        <v>35</v>
      </c>
      <c r="L38" s="27">
        <v>36</v>
      </c>
      <c r="M38" s="29">
        <v>0.88889</v>
      </c>
      <c r="N38" s="29">
        <v>0.97222</v>
      </c>
      <c r="O38" s="27">
        <v>3.11</v>
      </c>
      <c r="P38" s="27">
        <v>5.625</v>
      </c>
      <c r="Q38" s="27">
        <v>0.33</v>
      </c>
      <c r="R38" s="27">
        <v>613.64</v>
      </c>
      <c r="S38" s="27">
        <v>5.71</v>
      </c>
    </row>
    <row r="39" spans="1:19">
      <c r="A39" s="28" t="s">
        <v>1</v>
      </c>
      <c r="B39" s="28" t="s">
        <v>26</v>
      </c>
      <c r="C39" s="28">
        <v>201810</v>
      </c>
      <c r="D39" s="28">
        <v>10445</v>
      </c>
      <c r="E39" s="28" t="s">
        <v>0</v>
      </c>
      <c r="F39" s="28" t="s">
        <v>123</v>
      </c>
      <c r="G39" s="28" t="s">
        <v>125</v>
      </c>
      <c r="H39" s="28" t="s">
        <v>142</v>
      </c>
      <c r="I39" s="28" t="s">
        <v>148</v>
      </c>
      <c r="J39" s="28">
        <v>24</v>
      </c>
      <c r="K39" s="28">
        <v>28</v>
      </c>
      <c r="L39" s="28">
        <v>29</v>
      </c>
      <c r="M39" s="30">
        <v>0.82759</v>
      </c>
      <c r="N39" s="30">
        <v>0.96552</v>
      </c>
      <c r="O39" s="28">
        <v>2.72</v>
      </c>
      <c r="P39" s="28">
        <v>5.625</v>
      </c>
      <c r="Q39" s="28">
        <v>0.33</v>
      </c>
      <c r="R39" s="28">
        <v>494.32</v>
      </c>
      <c r="S39" s="28">
        <v>4.93</v>
      </c>
    </row>
    <row r="40" spans="1:19">
      <c r="A40" s="27" t="s">
        <v>1</v>
      </c>
      <c r="B40" s="27" t="s">
        <v>26</v>
      </c>
      <c r="C40" s="27">
        <v>201810</v>
      </c>
      <c r="D40" s="27">
        <v>10901</v>
      </c>
      <c r="E40" s="27" t="s">
        <v>0</v>
      </c>
      <c r="F40" s="27" t="s">
        <v>123</v>
      </c>
      <c r="G40" s="27" t="s">
        <v>124</v>
      </c>
      <c r="H40" s="27" t="s">
        <v>142</v>
      </c>
      <c r="I40" s="27" t="s">
        <v>143</v>
      </c>
      <c r="J40" s="27">
        <v>31</v>
      </c>
      <c r="K40" s="27">
        <v>34</v>
      </c>
      <c r="L40" s="27">
        <v>37</v>
      </c>
      <c r="M40" s="29">
        <v>0.83784</v>
      </c>
      <c r="N40" s="29">
        <v>0.91892</v>
      </c>
      <c r="O40" s="27">
        <v>3.08</v>
      </c>
      <c r="P40" s="27">
        <v>5.625</v>
      </c>
      <c r="Q40" s="27">
        <v>0.33</v>
      </c>
      <c r="R40" s="27">
        <v>630.68</v>
      </c>
      <c r="S40" s="27">
        <v>6.29</v>
      </c>
    </row>
    <row r="41" spans="1:19">
      <c r="A41" s="28" t="s">
        <v>1</v>
      </c>
      <c r="B41" s="28" t="s">
        <v>26</v>
      </c>
      <c r="C41" s="28">
        <v>201810</v>
      </c>
      <c r="D41" s="28">
        <v>10902</v>
      </c>
      <c r="E41" s="28" t="s">
        <v>0</v>
      </c>
      <c r="F41" s="28" t="s">
        <v>123</v>
      </c>
      <c r="G41" s="28" t="s">
        <v>124</v>
      </c>
      <c r="H41" s="28" t="s">
        <v>142</v>
      </c>
      <c r="I41" s="28" t="s">
        <v>145</v>
      </c>
      <c r="J41" s="28">
        <v>29</v>
      </c>
      <c r="K41" s="28">
        <v>31</v>
      </c>
      <c r="L41" s="28">
        <v>32</v>
      </c>
      <c r="M41" s="30">
        <v>0.90625</v>
      </c>
      <c r="N41" s="30">
        <v>0.96875</v>
      </c>
      <c r="O41" s="28">
        <v>3.34</v>
      </c>
      <c r="P41" s="28">
        <v>5.625</v>
      </c>
      <c r="Q41" s="28">
        <v>0.33</v>
      </c>
      <c r="R41" s="28">
        <v>545.45</v>
      </c>
      <c r="S41" s="28">
        <v>5.44</v>
      </c>
    </row>
    <row r="42" spans="1:19">
      <c r="A42" s="27" t="s">
        <v>1</v>
      </c>
      <c r="B42" s="27" t="s">
        <v>27</v>
      </c>
      <c r="C42" s="27">
        <v>201815</v>
      </c>
      <c r="D42" s="27">
        <v>15216</v>
      </c>
      <c r="E42" s="27" t="s">
        <v>0</v>
      </c>
      <c r="F42" s="27" t="s">
        <v>123</v>
      </c>
      <c r="G42" s="27" t="s">
        <v>124</v>
      </c>
      <c r="H42" s="27" t="s">
        <v>142</v>
      </c>
      <c r="I42" s="27" t="s">
        <v>145</v>
      </c>
      <c r="J42" s="27">
        <v>18</v>
      </c>
      <c r="K42" s="27">
        <v>19</v>
      </c>
      <c r="L42" s="27">
        <v>21</v>
      </c>
      <c r="M42" s="29">
        <v>0.85714</v>
      </c>
      <c r="N42" s="29">
        <v>0.90476</v>
      </c>
      <c r="O42" s="27">
        <v>3.38</v>
      </c>
      <c r="P42" s="27">
        <v>5.625</v>
      </c>
      <c r="Q42" s="27">
        <v>0.33</v>
      </c>
      <c r="R42" s="27">
        <v>357.95</v>
      </c>
      <c r="S42" s="27">
        <v>3.42</v>
      </c>
    </row>
    <row r="43" spans="1:19">
      <c r="A43" s="28" t="s">
        <v>1</v>
      </c>
      <c r="B43" s="28" t="s">
        <v>28</v>
      </c>
      <c r="C43" s="28">
        <v>201820</v>
      </c>
      <c r="D43" s="28">
        <v>20435</v>
      </c>
      <c r="E43" s="28" t="s">
        <v>0</v>
      </c>
      <c r="F43" s="28" t="s">
        <v>123</v>
      </c>
      <c r="G43" s="28" t="s">
        <v>124</v>
      </c>
      <c r="H43" s="28" t="s">
        <v>142</v>
      </c>
      <c r="I43" s="28" t="s">
        <v>148</v>
      </c>
      <c r="J43" s="28">
        <v>18</v>
      </c>
      <c r="K43" s="28">
        <v>26</v>
      </c>
      <c r="L43" s="28">
        <v>26</v>
      </c>
      <c r="M43" s="30">
        <v>0.69231</v>
      </c>
      <c r="N43" s="30">
        <v>1</v>
      </c>
      <c r="O43" s="28">
        <v>1.85</v>
      </c>
      <c r="P43" s="28">
        <v>5.625</v>
      </c>
      <c r="Q43" s="28">
        <v>0.33</v>
      </c>
      <c r="R43" s="28">
        <v>443.18</v>
      </c>
      <c r="S43" s="28">
        <v>4.42</v>
      </c>
    </row>
    <row r="44" spans="1:19">
      <c r="A44" s="27" t="s">
        <v>1</v>
      </c>
      <c r="B44" s="27" t="s">
        <v>28</v>
      </c>
      <c r="C44" s="27">
        <v>201820</v>
      </c>
      <c r="D44" s="27">
        <v>20436</v>
      </c>
      <c r="E44" s="27" t="s">
        <v>0</v>
      </c>
      <c r="F44" s="27" t="s">
        <v>123</v>
      </c>
      <c r="G44" s="27" t="s">
        <v>125</v>
      </c>
      <c r="H44" s="27" t="s">
        <v>142</v>
      </c>
      <c r="I44" s="27" t="s">
        <v>148</v>
      </c>
      <c r="J44" s="27">
        <v>18</v>
      </c>
      <c r="K44" s="27">
        <v>23</v>
      </c>
      <c r="L44" s="27">
        <v>26</v>
      </c>
      <c r="M44" s="29">
        <v>0.69231</v>
      </c>
      <c r="N44" s="29">
        <v>0.88462</v>
      </c>
      <c r="O44" s="27">
        <v>1.81</v>
      </c>
      <c r="P44" s="27">
        <v>5.625</v>
      </c>
      <c r="Q44" s="27">
        <v>0.33</v>
      </c>
      <c r="R44" s="27">
        <v>443.18</v>
      </c>
      <c r="S44" s="27">
        <v>4.42</v>
      </c>
    </row>
    <row r="45" spans="1:19">
      <c r="A45" s="28" t="s">
        <v>1</v>
      </c>
      <c r="B45" s="28" t="s">
        <v>28</v>
      </c>
      <c r="C45" s="28">
        <v>201820</v>
      </c>
      <c r="D45" s="28">
        <v>20438</v>
      </c>
      <c r="E45" s="28" t="s">
        <v>0</v>
      </c>
      <c r="F45" s="28" t="s">
        <v>123</v>
      </c>
      <c r="G45" s="28" t="s">
        <v>124</v>
      </c>
      <c r="H45" s="28" t="s">
        <v>142</v>
      </c>
      <c r="I45" s="28" t="s">
        <v>145</v>
      </c>
      <c r="J45" s="28">
        <v>28</v>
      </c>
      <c r="K45" s="28">
        <v>30</v>
      </c>
      <c r="L45" s="28">
        <v>30</v>
      </c>
      <c r="M45" s="30">
        <v>0.93333</v>
      </c>
      <c r="N45" s="30">
        <v>1</v>
      </c>
      <c r="O45" s="28">
        <v>3.5</v>
      </c>
      <c r="P45" s="28">
        <v>5.625</v>
      </c>
      <c r="Q45" s="28">
        <v>0.33</v>
      </c>
      <c r="R45" s="28">
        <v>511.36</v>
      </c>
      <c r="S45" s="28">
        <v>5.1</v>
      </c>
    </row>
    <row r="46" spans="1:19">
      <c r="A46" s="27" t="s">
        <v>1</v>
      </c>
      <c r="B46" s="27" t="s">
        <v>28</v>
      </c>
      <c r="C46" s="27">
        <v>201820</v>
      </c>
      <c r="D46" s="27">
        <v>20439</v>
      </c>
      <c r="E46" s="27" t="s">
        <v>0</v>
      </c>
      <c r="F46" s="27" t="s">
        <v>123</v>
      </c>
      <c r="G46" s="27" t="s">
        <v>124</v>
      </c>
      <c r="H46" s="27" t="s">
        <v>142</v>
      </c>
      <c r="I46" s="27" t="s">
        <v>146</v>
      </c>
      <c r="J46" s="27">
        <v>27</v>
      </c>
      <c r="K46" s="27">
        <v>27</v>
      </c>
      <c r="L46" s="27">
        <v>34</v>
      </c>
      <c r="M46" s="29">
        <v>0.79412</v>
      </c>
      <c r="N46" s="29">
        <v>0.79412</v>
      </c>
      <c r="O46" s="27">
        <v>2.94</v>
      </c>
      <c r="P46" s="27">
        <v>5.625</v>
      </c>
      <c r="Q46" s="27">
        <v>0.33</v>
      </c>
      <c r="R46" s="27">
        <v>579.55</v>
      </c>
      <c r="S46" s="27">
        <v>5.2</v>
      </c>
    </row>
    <row r="47" spans="1:19">
      <c r="A47" s="28" t="s">
        <v>1</v>
      </c>
      <c r="B47" s="28" t="s">
        <v>28</v>
      </c>
      <c r="C47" s="28">
        <v>201820</v>
      </c>
      <c r="D47" s="28">
        <v>20441</v>
      </c>
      <c r="E47" s="28" t="s">
        <v>0</v>
      </c>
      <c r="F47" s="28" t="s">
        <v>123</v>
      </c>
      <c r="G47" s="28" t="s">
        <v>124</v>
      </c>
      <c r="H47" s="28" t="s">
        <v>142</v>
      </c>
      <c r="I47" s="28" t="s">
        <v>143</v>
      </c>
      <c r="J47" s="28">
        <v>26</v>
      </c>
      <c r="K47" s="28">
        <v>27</v>
      </c>
      <c r="L47" s="28">
        <v>29</v>
      </c>
      <c r="M47" s="30">
        <v>0.89655</v>
      </c>
      <c r="N47" s="30">
        <v>0.93103</v>
      </c>
      <c r="O47" s="28">
        <v>3.28</v>
      </c>
      <c r="P47" s="28">
        <v>5.625</v>
      </c>
      <c r="Q47" s="28">
        <v>0.33</v>
      </c>
      <c r="R47" s="28">
        <v>494.32</v>
      </c>
      <c r="S47" s="28">
        <v>4.93</v>
      </c>
    </row>
    <row r="48" spans="1:19">
      <c r="A48" s="27" t="s">
        <v>1</v>
      </c>
      <c r="B48" s="27" t="s">
        <v>28</v>
      </c>
      <c r="C48" s="27">
        <v>201820</v>
      </c>
      <c r="D48" s="27">
        <v>20922</v>
      </c>
      <c r="E48" s="27" t="s">
        <v>0</v>
      </c>
      <c r="F48" s="27" t="s">
        <v>123</v>
      </c>
      <c r="G48" s="27" t="s">
        <v>125</v>
      </c>
      <c r="H48" s="27" t="s">
        <v>142</v>
      </c>
      <c r="I48" s="27" t="s">
        <v>143</v>
      </c>
      <c r="J48" s="27">
        <v>24</v>
      </c>
      <c r="K48" s="27">
        <v>26</v>
      </c>
      <c r="L48" s="27">
        <v>28</v>
      </c>
      <c r="M48" s="29">
        <v>0.85714</v>
      </c>
      <c r="N48" s="29">
        <v>0.92857</v>
      </c>
      <c r="O48" s="27">
        <v>2.79</v>
      </c>
      <c r="P48" s="27">
        <v>5.625</v>
      </c>
      <c r="Q48" s="27">
        <v>0.33</v>
      </c>
      <c r="R48" s="27">
        <v>477.27</v>
      </c>
      <c r="S48" s="27">
        <v>4.76</v>
      </c>
    </row>
    <row r="49" spans="1:19">
      <c r="A49" s="28" t="s">
        <v>1</v>
      </c>
      <c r="B49" s="28" t="s">
        <v>29</v>
      </c>
      <c r="C49" s="28">
        <v>201830</v>
      </c>
      <c r="D49" s="28">
        <v>30194</v>
      </c>
      <c r="E49" s="28" t="s">
        <v>0</v>
      </c>
      <c r="F49" s="28" t="s">
        <v>123</v>
      </c>
      <c r="G49" s="28" t="s">
        <v>124</v>
      </c>
      <c r="H49" s="28" t="s">
        <v>142</v>
      </c>
      <c r="I49" s="28" t="s">
        <v>145</v>
      </c>
      <c r="J49" s="28">
        <v>26</v>
      </c>
      <c r="K49" s="28">
        <v>26</v>
      </c>
      <c r="L49" s="28">
        <v>26</v>
      </c>
      <c r="M49" s="30">
        <v>1</v>
      </c>
      <c r="N49" s="30">
        <v>1</v>
      </c>
      <c r="O49" s="28">
        <v>3.92</v>
      </c>
      <c r="P49" s="28">
        <v>5.625</v>
      </c>
      <c r="Q49" s="28">
        <v>0.33</v>
      </c>
      <c r="R49" s="28">
        <v>443.18</v>
      </c>
      <c r="S49" s="28">
        <v>4.23</v>
      </c>
    </row>
    <row r="50" spans="1:19">
      <c r="A50" s="27" t="s">
        <v>57</v>
      </c>
      <c r="B50" s="27" t="s">
        <v>18</v>
      </c>
      <c r="C50" s="27">
        <v>201610</v>
      </c>
      <c r="D50" s="27">
        <v>10441</v>
      </c>
      <c r="E50" s="27" t="s">
        <v>0</v>
      </c>
      <c r="F50" s="27" t="s">
        <v>126</v>
      </c>
      <c r="G50" s="27" t="s">
        <v>124</v>
      </c>
      <c r="H50" s="27" t="s">
        <v>142</v>
      </c>
      <c r="I50" s="27" t="s">
        <v>145</v>
      </c>
      <c r="J50" s="27">
        <v>25</v>
      </c>
      <c r="K50" s="27">
        <v>25</v>
      </c>
      <c r="L50" s="27">
        <v>31</v>
      </c>
      <c r="M50" s="29">
        <v>0.80645</v>
      </c>
      <c r="N50" s="29">
        <v>0.80645</v>
      </c>
      <c r="O50" s="27">
        <v>2.81</v>
      </c>
      <c r="P50" s="27">
        <v>5.625</v>
      </c>
      <c r="Q50" s="27">
        <v>0.33</v>
      </c>
      <c r="R50" s="27">
        <v>528.41</v>
      </c>
      <c r="S50" s="27">
        <v>4.92</v>
      </c>
    </row>
    <row r="51" spans="1:19">
      <c r="A51" s="28" t="s">
        <v>57</v>
      </c>
      <c r="B51" s="28" t="s">
        <v>18</v>
      </c>
      <c r="C51" s="28">
        <v>201610</v>
      </c>
      <c r="D51" s="28">
        <v>10444</v>
      </c>
      <c r="E51" s="28" t="s">
        <v>0</v>
      </c>
      <c r="F51" s="28" t="s">
        <v>126</v>
      </c>
      <c r="G51" s="28" t="s">
        <v>124</v>
      </c>
      <c r="H51" s="28" t="s">
        <v>142</v>
      </c>
      <c r="I51" s="28" t="s">
        <v>147</v>
      </c>
      <c r="J51" s="28">
        <v>15</v>
      </c>
      <c r="K51" s="28">
        <v>17</v>
      </c>
      <c r="L51" s="28">
        <v>18</v>
      </c>
      <c r="M51" s="30">
        <v>0.83333</v>
      </c>
      <c r="N51" s="30">
        <v>0.94444</v>
      </c>
      <c r="O51" s="28">
        <v>2.44</v>
      </c>
      <c r="P51" s="28">
        <v>5.625</v>
      </c>
      <c r="Q51" s="28">
        <v>0.33</v>
      </c>
      <c r="R51" s="28">
        <v>306.82</v>
      </c>
      <c r="S51" s="28">
        <v>2.85</v>
      </c>
    </row>
    <row r="52" spans="1:19">
      <c r="A52" s="27" t="s">
        <v>57</v>
      </c>
      <c r="B52" s="27" t="s">
        <v>19</v>
      </c>
      <c r="C52" s="27">
        <v>201615</v>
      </c>
      <c r="D52" s="27">
        <v>15054</v>
      </c>
      <c r="E52" s="27" t="s">
        <v>0</v>
      </c>
      <c r="F52" s="27" t="s">
        <v>126</v>
      </c>
      <c r="G52" s="27" t="s">
        <v>124</v>
      </c>
      <c r="H52" s="27" t="s">
        <v>142</v>
      </c>
      <c r="I52" s="27" t="s">
        <v>145</v>
      </c>
      <c r="J52" s="27">
        <v>19</v>
      </c>
      <c r="K52" s="27">
        <v>19</v>
      </c>
      <c r="L52" s="27">
        <v>19</v>
      </c>
      <c r="M52" s="29">
        <v>1</v>
      </c>
      <c r="N52" s="29">
        <v>1</v>
      </c>
      <c r="O52" s="27">
        <v>3.95</v>
      </c>
      <c r="P52" s="27">
        <v>5.625</v>
      </c>
      <c r="Q52" s="27">
        <v>0.33</v>
      </c>
      <c r="R52" s="27">
        <v>323.86</v>
      </c>
      <c r="S52" s="27">
        <v>3.02</v>
      </c>
    </row>
    <row r="53" spans="1:19">
      <c r="A53" s="28" t="s">
        <v>57</v>
      </c>
      <c r="B53" s="28" t="s">
        <v>20</v>
      </c>
      <c r="C53" s="28">
        <v>201620</v>
      </c>
      <c r="D53" s="28">
        <v>20437</v>
      </c>
      <c r="E53" s="28" t="s">
        <v>0</v>
      </c>
      <c r="F53" s="28" t="s">
        <v>126</v>
      </c>
      <c r="G53" s="28" t="s">
        <v>125</v>
      </c>
      <c r="H53" s="28" t="s">
        <v>142</v>
      </c>
      <c r="I53" s="28" t="s">
        <v>147</v>
      </c>
      <c r="J53" s="28">
        <v>7</v>
      </c>
      <c r="K53" s="28">
        <v>9</v>
      </c>
      <c r="L53" s="28">
        <v>12</v>
      </c>
      <c r="M53" s="30">
        <v>0.58333</v>
      </c>
      <c r="N53" s="30">
        <v>0.75</v>
      </c>
      <c r="O53" s="28">
        <v>1.75</v>
      </c>
      <c r="P53" s="28">
        <v>5.625</v>
      </c>
      <c r="Q53" s="28">
        <v>0.33</v>
      </c>
      <c r="R53" s="28">
        <v>204.55</v>
      </c>
      <c r="S53" s="28">
        <v>1.9</v>
      </c>
    </row>
    <row r="54" spans="1:19">
      <c r="A54" s="27" t="s">
        <v>57</v>
      </c>
      <c r="B54" s="27" t="s">
        <v>20</v>
      </c>
      <c r="C54" s="27">
        <v>201620</v>
      </c>
      <c r="D54" s="27">
        <v>20440</v>
      </c>
      <c r="E54" s="27" t="s">
        <v>0</v>
      </c>
      <c r="F54" s="27" t="s">
        <v>126</v>
      </c>
      <c r="G54" s="27" t="s">
        <v>124</v>
      </c>
      <c r="H54" s="27" t="s">
        <v>142</v>
      </c>
      <c r="I54" s="27" t="s">
        <v>146</v>
      </c>
      <c r="J54" s="27">
        <v>14</v>
      </c>
      <c r="K54" s="27">
        <v>14</v>
      </c>
      <c r="L54" s="27">
        <v>17</v>
      </c>
      <c r="M54" s="29">
        <v>0.82353</v>
      </c>
      <c r="N54" s="29">
        <v>0.82353</v>
      </c>
      <c r="O54" s="27">
        <v>3.12</v>
      </c>
      <c r="P54" s="27">
        <v>5.625</v>
      </c>
      <c r="Q54" s="27">
        <v>0.33</v>
      </c>
      <c r="R54" s="27">
        <v>289.77</v>
      </c>
      <c r="S54" s="27">
        <v>2.7</v>
      </c>
    </row>
    <row r="55" spans="1:19">
      <c r="A55" s="28" t="s">
        <v>57</v>
      </c>
      <c r="B55" s="28" t="s">
        <v>20</v>
      </c>
      <c r="C55" s="28">
        <v>201620</v>
      </c>
      <c r="D55" s="28">
        <v>20982</v>
      </c>
      <c r="E55" s="28" t="s">
        <v>0</v>
      </c>
      <c r="F55" s="28" t="s">
        <v>126</v>
      </c>
      <c r="G55" s="28" t="s">
        <v>124</v>
      </c>
      <c r="H55" s="28" t="s">
        <v>142</v>
      </c>
      <c r="I55" s="28" t="s">
        <v>145</v>
      </c>
      <c r="J55" s="28">
        <v>29</v>
      </c>
      <c r="K55" s="28">
        <v>30</v>
      </c>
      <c r="L55" s="28">
        <v>30</v>
      </c>
      <c r="M55" s="30">
        <v>0.96667</v>
      </c>
      <c r="N55" s="30">
        <v>1</v>
      </c>
      <c r="O55" s="28">
        <v>3.77</v>
      </c>
      <c r="P55" s="28">
        <v>5.625</v>
      </c>
      <c r="Q55" s="28">
        <v>0.33</v>
      </c>
      <c r="R55" s="28">
        <v>511.36</v>
      </c>
      <c r="S55" s="28">
        <v>4.76</v>
      </c>
    </row>
    <row r="56" spans="1:19">
      <c r="A56" s="27" t="s">
        <v>57</v>
      </c>
      <c r="B56" s="27" t="s">
        <v>21</v>
      </c>
      <c r="C56" s="27">
        <v>201630</v>
      </c>
      <c r="D56" s="27">
        <v>30006</v>
      </c>
      <c r="E56" s="27" t="s">
        <v>0</v>
      </c>
      <c r="F56" s="27" t="s">
        <v>126</v>
      </c>
      <c r="G56" s="27" t="s">
        <v>124</v>
      </c>
      <c r="H56" s="27" t="s">
        <v>142</v>
      </c>
      <c r="I56" s="27" t="s">
        <v>145</v>
      </c>
      <c r="J56" s="27">
        <v>17</v>
      </c>
      <c r="K56" s="27">
        <v>17</v>
      </c>
      <c r="L56" s="27">
        <v>18</v>
      </c>
      <c r="M56" s="29">
        <v>0.94444</v>
      </c>
      <c r="N56" s="29">
        <v>0.94444</v>
      </c>
      <c r="O56" s="27">
        <v>3.72</v>
      </c>
      <c r="P56" s="27">
        <v>5.625</v>
      </c>
      <c r="Q56" s="27">
        <v>0.33</v>
      </c>
      <c r="R56" s="27">
        <v>306.82</v>
      </c>
      <c r="S56" s="27">
        <v>2.86</v>
      </c>
    </row>
    <row r="57" spans="1:19">
      <c r="A57" s="28" t="s">
        <v>58</v>
      </c>
      <c r="B57" s="28" t="s">
        <v>22</v>
      </c>
      <c r="C57" s="28">
        <v>201710</v>
      </c>
      <c r="D57" s="28">
        <v>10441</v>
      </c>
      <c r="E57" s="28" t="s">
        <v>0</v>
      </c>
      <c r="F57" s="28" t="s">
        <v>126</v>
      </c>
      <c r="G57" s="28" t="s">
        <v>124</v>
      </c>
      <c r="H57" s="28" t="s">
        <v>142</v>
      </c>
      <c r="I57" s="28" t="s">
        <v>145</v>
      </c>
      <c r="J57" s="28">
        <v>28</v>
      </c>
      <c r="K57" s="28">
        <v>30</v>
      </c>
      <c r="L57" s="28">
        <v>32</v>
      </c>
      <c r="M57" s="30">
        <v>0.875</v>
      </c>
      <c r="N57" s="30">
        <v>0.9375</v>
      </c>
      <c r="O57" s="28">
        <v>3.38</v>
      </c>
      <c r="P57" s="28">
        <v>5.625</v>
      </c>
      <c r="Q57" s="28">
        <v>0.33</v>
      </c>
      <c r="R57" s="28">
        <v>545.45</v>
      </c>
      <c r="S57" s="28">
        <v>5.07</v>
      </c>
    </row>
    <row r="58" spans="1:19">
      <c r="A58" s="27" t="s">
        <v>58</v>
      </c>
      <c r="B58" s="27" t="s">
        <v>22</v>
      </c>
      <c r="C58" s="27">
        <v>201710</v>
      </c>
      <c r="D58" s="27">
        <v>10444</v>
      </c>
      <c r="E58" s="27" t="s">
        <v>0</v>
      </c>
      <c r="F58" s="27" t="s">
        <v>126</v>
      </c>
      <c r="G58" s="27" t="s">
        <v>124</v>
      </c>
      <c r="H58" s="27" t="s">
        <v>142</v>
      </c>
      <c r="I58" s="27" t="s">
        <v>146</v>
      </c>
      <c r="J58" s="27">
        <v>16</v>
      </c>
      <c r="K58" s="27">
        <v>16</v>
      </c>
      <c r="L58" s="27">
        <v>17</v>
      </c>
      <c r="M58" s="29">
        <v>0.94118</v>
      </c>
      <c r="N58" s="29">
        <v>0.94118</v>
      </c>
      <c r="O58" s="27">
        <v>3.53</v>
      </c>
      <c r="P58" s="27">
        <v>5.625</v>
      </c>
      <c r="Q58" s="27">
        <v>0.33</v>
      </c>
      <c r="R58" s="27">
        <v>289.77</v>
      </c>
      <c r="S58" s="27">
        <v>2.7</v>
      </c>
    </row>
    <row r="59" spans="1:19">
      <c r="A59" s="28" t="s">
        <v>58</v>
      </c>
      <c r="B59" s="28" t="s">
        <v>23</v>
      </c>
      <c r="C59" s="28">
        <v>201715</v>
      </c>
      <c r="D59" s="28">
        <v>15054</v>
      </c>
      <c r="E59" s="28" t="s">
        <v>0</v>
      </c>
      <c r="F59" s="28" t="s">
        <v>126</v>
      </c>
      <c r="G59" s="28" t="s">
        <v>124</v>
      </c>
      <c r="H59" s="28" t="s">
        <v>142</v>
      </c>
      <c r="I59" s="28" t="s">
        <v>145</v>
      </c>
      <c r="J59" s="28">
        <v>14</v>
      </c>
      <c r="K59" s="28">
        <v>14</v>
      </c>
      <c r="L59" s="28">
        <v>14</v>
      </c>
      <c r="M59" s="30">
        <v>1</v>
      </c>
      <c r="N59" s="30">
        <v>1</v>
      </c>
      <c r="O59" s="28">
        <v>3.79</v>
      </c>
      <c r="P59" s="28">
        <v>5.625</v>
      </c>
      <c r="Q59" s="28">
        <v>0.33</v>
      </c>
      <c r="R59" s="28">
        <v>238.64</v>
      </c>
      <c r="S59" s="28">
        <v>2.22</v>
      </c>
    </row>
    <row r="60" spans="1:19">
      <c r="A60" s="27" t="s">
        <v>58</v>
      </c>
      <c r="B60" s="27" t="s">
        <v>24</v>
      </c>
      <c r="C60" s="27">
        <v>201720</v>
      </c>
      <c r="D60" s="27">
        <v>20437</v>
      </c>
      <c r="E60" s="27" t="s">
        <v>0</v>
      </c>
      <c r="F60" s="27" t="s">
        <v>126</v>
      </c>
      <c r="G60" s="27" t="s">
        <v>125</v>
      </c>
      <c r="H60" s="27" t="s">
        <v>142</v>
      </c>
      <c r="I60" s="27" t="s">
        <v>146</v>
      </c>
      <c r="J60" s="27">
        <v>10</v>
      </c>
      <c r="K60" s="27">
        <v>10</v>
      </c>
      <c r="L60" s="27">
        <v>14</v>
      </c>
      <c r="M60" s="29">
        <v>0.71429</v>
      </c>
      <c r="N60" s="29">
        <v>0.71429</v>
      </c>
      <c r="O60" s="27">
        <v>2.57</v>
      </c>
      <c r="P60" s="27">
        <v>5.625</v>
      </c>
      <c r="Q60" s="27">
        <v>0.33</v>
      </c>
      <c r="R60" s="27">
        <v>238.64</v>
      </c>
      <c r="S60" s="27">
        <v>2.22</v>
      </c>
    </row>
    <row r="61" spans="1:19">
      <c r="A61" s="28" t="s">
        <v>58</v>
      </c>
      <c r="B61" s="28" t="s">
        <v>24</v>
      </c>
      <c r="C61" s="28">
        <v>201720</v>
      </c>
      <c r="D61" s="28">
        <v>20440</v>
      </c>
      <c r="E61" s="28" t="s">
        <v>0</v>
      </c>
      <c r="F61" s="28" t="s">
        <v>126</v>
      </c>
      <c r="G61" s="28" t="s">
        <v>124</v>
      </c>
      <c r="H61" s="28" t="s">
        <v>142</v>
      </c>
      <c r="I61" s="28" t="s">
        <v>146</v>
      </c>
      <c r="J61" s="28">
        <v>14</v>
      </c>
      <c r="K61" s="28">
        <v>15</v>
      </c>
      <c r="L61" s="28">
        <v>17</v>
      </c>
      <c r="M61" s="30">
        <v>0.82353</v>
      </c>
      <c r="N61" s="30">
        <v>0.88235</v>
      </c>
      <c r="O61" s="28">
        <v>3.12</v>
      </c>
      <c r="P61" s="28">
        <v>5.625</v>
      </c>
      <c r="Q61" s="28">
        <v>0.33</v>
      </c>
      <c r="R61" s="28">
        <v>289.77</v>
      </c>
      <c r="S61" s="28">
        <v>2.7</v>
      </c>
    </row>
    <row r="62" spans="1:19">
      <c r="A62" s="27" t="s">
        <v>58</v>
      </c>
      <c r="B62" s="27" t="s">
        <v>24</v>
      </c>
      <c r="C62" s="27">
        <v>201720</v>
      </c>
      <c r="D62" s="27">
        <v>20982</v>
      </c>
      <c r="E62" s="27" t="s">
        <v>0</v>
      </c>
      <c r="F62" s="27" t="s">
        <v>126</v>
      </c>
      <c r="G62" s="27" t="s">
        <v>124</v>
      </c>
      <c r="H62" s="27" t="s">
        <v>142</v>
      </c>
      <c r="I62" s="27" t="s">
        <v>145</v>
      </c>
      <c r="J62" s="27">
        <v>26</v>
      </c>
      <c r="K62" s="27">
        <v>26</v>
      </c>
      <c r="L62" s="27">
        <v>27</v>
      </c>
      <c r="M62" s="29">
        <v>0.96296</v>
      </c>
      <c r="N62" s="29">
        <v>0.96296</v>
      </c>
      <c r="O62" s="27">
        <v>3.67</v>
      </c>
      <c r="P62" s="27">
        <v>5.625</v>
      </c>
      <c r="Q62" s="27">
        <v>0.33</v>
      </c>
      <c r="R62" s="27">
        <v>460.23</v>
      </c>
      <c r="S62" s="27">
        <v>4.28</v>
      </c>
    </row>
    <row r="63" spans="1:19">
      <c r="A63" s="28" t="s">
        <v>58</v>
      </c>
      <c r="B63" s="28" t="s">
        <v>25</v>
      </c>
      <c r="C63" s="28">
        <v>201730</v>
      </c>
      <c r="D63" s="28">
        <v>30006</v>
      </c>
      <c r="E63" s="28" t="s">
        <v>0</v>
      </c>
      <c r="F63" s="28" t="s">
        <v>126</v>
      </c>
      <c r="G63" s="28" t="s">
        <v>124</v>
      </c>
      <c r="H63" s="28" t="s">
        <v>142</v>
      </c>
      <c r="I63" s="28" t="s">
        <v>145</v>
      </c>
      <c r="J63" s="28">
        <v>17</v>
      </c>
      <c r="K63" s="28">
        <v>17</v>
      </c>
      <c r="L63" s="28">
        <v>17</v>
      </c>
      <c r="M63" s="30">
        <v>1</v>
      </c>
      <c r="N63" s="30">
        <v>1</v>
      </c>
      <c r="O63" s="28">
        <v>3.88</v>
      </c>
      <c r="P63" s="28">
        <v>5.625</v>
      </c>
      <c r="Q63" s="28">
        <v>0.33</v>
      </c>
      <c r="R63" s="28">
        <v>289.77</v>
      </c>
      <c r="S63" s="28">
        <v>2.7</v>
      </c>
    </row>
    <row r="64" spans="1:19">
      <c r="A64" s="27" t="s">
        <v>1</v>
      </c>
      <c r="B64" s="27" t="s">
        <v>26</v>
      </c>
      <c r="C64" s="27">
        <v>201810</v>
      </c>
      <c r="D64" s="27">
        <v>10441</v>
      </c>
      <c r="E64" s="27" t="s">
        <v>0</v>
      </c>
      <c r="F64" s="27" t="s">
        <v>126</v>
      </c>
      <c r="G64" s="27" t="s">
        <v>124</v>
      </c>
      <c r="H64" s="27" t="s">
        <v>142</v>
      </c>
      <c r="I64" s="27" t="s">
        <v>145</v>
      </c>
      <c r="J64" s="27">
        <v>26</v>
      </c>
      <c r="K64" s="27">
        <v>27</v>
      </c>
      <c r="L64" s="27">
        <v>32</v>
      </c>
      <c r="M64" s="29">
        <v>0.8125</v>
      </c>
      <c r="N64" s="29">
        <v>0.84375</v>
      </c>
      <c r="O64" s="27">
        <v>3.13</v>
      </c>
      <c r="P64" s="27">
        <v>5.625</v>
      </c>
      <c r="Q64" s="27">
        <v>0.33</v>
      </c>
      <c r="R64" s="27">
        <v>545.45</v>
      </c>
      <c r="S64" s="27">
        <v>5.44</v>
      </c>
    </row>
    <row r="65" spans="1:19">
      <c r="A65" s="28" t="s">
        <v>1</v>
      </c>
      <c r="B65" s="28" t="s">
        <v>26</v>
      </c>
      <c r="C65" s="28">
        <v>201810</v>
      </c>
      <c r="D65" s="28">
        <v>10444</v>
      </c>
      <c r="E65" s="28" t="s">
        <v>0</v>
      </c>
      <c r="F65" s="28" t="s">
        <v>126</v>
      </c>
      <c r="G65" s="28" t="s">
        <v>124</v>
      </c>
      <c r="H65" s="28" t="s">
        <v>142</v>
      </c>
      <c r="I65" s="28" t="s">
        <v>146</v>
      </c>
      <c r="J65" s="28">
        <v>15</v>
      </c>
      <c r="K65" s="28">
        <v>15</v>
      </c>
      <c r="L65" s="28">
        <v>16</v>
      </c>
      <c r="M65" s="30">
        <v>0.9375</v>
      </c>
      <c r="N65" s="30">
        <v>0.9375</v>
      </c>
      <c r="O65" s="28">
        <v>3.56</v>
      </c>
      <c r="P65" s="28">
        <v>5.625</v>
      </c>
      <c r="Q65" s="28">
        <v>0.33</v>
      </c>
      <c r="R65" s="28">
        <v>272.73</v>
      </c>
      <c r="S65" s="28">
        <v>2.54</v>
      </c>
    </row>
    <row r="66" spans="1:19">
      <c r="A66" s="27" t="s">
        <v>1</v>
      </c>
      <c r="B66" s="27" t="s">
        <v>28</v>
      </c>
      <c r="C66" s="27">
        <v>201820</v>
      </c>
      <c r="D66" s="27">
        <v>20437</v>
      </c>
      <c r="E66" s="27" t="s">
        <v>0</v>
      </c>
      <c r="F66" s="27" t="s">
        <v>126</v>
      </c>
      <c r="G66" s="27" t="s">
        <v>125</v>
      </c>
      <c r="H66" s="27" t="s">
        <v>142</v>
      </c>
      <c r="I66" s="27" t="s">
        <v>144</v>
      </c>
      <c r="J66" s="27">
        <v>12</v>
      </c>
      <c r="K66" s="27">
        <v>17</v>
      </c>
      <c r="L66" s="27">
        <v>21</v>
      </c>
      <c r="M66" s="29">
        <v>0.57143</v>
      </c>
      <c r="N66" s="29">
        <v>0.80952</v>
      </c>
      <c r="O66" s="27">
        <v>2.29</v>
      </c>
      <c r="P66" s="27">
        <v>5.625</v>
      </c>
      <c r="Q66" s="27">
        <v>0.33</v>
      </c>
      <c r="R66" s="27">
        <v>357.95</v>
      </c>
      <c r="S66" s="27">
        <v>3.57</v>
      </c>
    </row>
    <row r="67" spans="1:19">
      <c r="A67" s="28" t="s">
        <v>1</v>
      </c>
      <c r="B67" s="28" t="s">
        <v>28</v>
      </c>
      <c r="C67" s="28">
        <v>201820</v>
      </c>
      <c r="D67" s="28">
        <v>20440</v>
      </c>
      <c r="E67" s="28" t="s">
        <v>0</v>
      </c>
      <c r="F67" s="28" t="s">
        <v>126</v>
      </c>
      <c r="G67" s="28" t="s">
        <v>124</v>
      </c>
      <c r="H67" s="28" t="s">
        <v>142</v>
      </c>
      <c r="I67" s="28" t="s">
        <v>146</v>
      </c>
      <c r="J67" s="28">
        <v>28</v>
      </c>
      <c r="K67" s="28">
        <v>28</v>
      </c>
      <c r="L67" s="28">
        <v>29</v>
      </c>
      <c r="M67" s="30">
        <v>0.96552</v>
      </c>
      <c r="N67" s="30">
        <v>0.96552</v>
      </c>
      <c r="O67" s="28">
        <v>3.52</v>
      </c>
      <c r="P67" s="28">
        <v>5.625</v>
      </c>
      <c r="Q67" s="28">
        <v>0.33</v>
      </c>
      <c r="R67" s="28">
        <v>494.32</v>
      </c>
      <c r="S67" s="28">
        <v>4.43</v>
      </c>
    </row>
    <row r="68" spans="1:19">
      <c r="A68" s="27" t="s">
        <v>1</v>
      </c>
      <c r="B68" s="27" t="s">
        <v>28</v>
      </c>
      <c r="C68" s="27">
        <v>201820</v>
      </c>
      <c r="D68" s="27">
        <v>20982</v>
      </c>
      <c r="E68" s="27" t="s">
        <v>0</v>
      </c>
      <c r="F68" s="27" t="s">
        <v>126</v>
      </c>
      <c r="G68" s="27" t="s">
        <v>124</v>
      </c>
      <c r="H68" s="27" t="s">
        <v>142</v>
      </c>
      <c r="I68" s="27" t="s">
        <v>145</v>
      </c>
      <c r="J68" s="27">
        <v>31</v>
      </c>
      <c r="K68" s="27">
        <v>32</v>
      </c>
      <c r="L68" s="27">
        <v>33</v>
      </c>
      <c r="M68" s="29">
        <v>0.93939</v>
      </c>
      <c r="N68" s="29">
        <v>0.9697</v>
      </c>
      <c r="O68" s="27">
        <v>3.42</v>
      </c>
      <c r="P68" s="27">
        <v>5.625</v>
      </c>
      <c r="Q68" s="27">
        <v>0.33</v>
      </c>
      <c r="R68" s="27">
        <v>562.5</v>
      </c>
      <c r="S68" s="27">
        <v>5.61</v>
      </c>
    </row>
    <row r="69" spans="1:19">
      <c r="A69" s="28" t="s">
        <v>1</v>
      </c>
      <c r="B69" s="28" t="s">
        <v>29</v>
      </c>
      <c r="C69" s="28">
        <v>201830</v>
      </c>
      <c r="D69" s="28">
        <v>30006</v>
      </c>
      <c r="E69" s="28" t="s">
        <v>0</v>
      </c>
      <c r="F69" s="28" t="s">
        <v>126</v>
      </c>
      <c r="G69" s="28" t="s">
        <v>124</v>
      </c>
      <c r="H69" s="28" t="s">
        <v>142</v>
      </c>
      <c r="I69" s="28" t="s">
        <v>145</v>
      </c>
      <c r="J69" s="28">
        <v>19</v>
      </c>
      <c r="K69" s="28">
        <v>19</v>
      </c>
      <c r="L69" s="28">
        <v>19</v>
      </c>
      <c r="M69" s="30">
        <v>1</v>
      </c>
      <c r="N69" s="30">
        <v>1</v>
      </c>
      <c r="O69" s="28">
        <v>3.79</v>
      </c>
      <c r="P69" s="28">
        <v>5.625</v>
      </c>
      <c r="Q69" s="28">
        <v>0.33</v>
      </c>
      <c r="R69" s="28">
        <v>323.86</v>
      </c>
      <c r="S69" s="28">
        <v>3.17</v>
      </c>
    </row>
    <row r="70" spans="1:19">
      <c r="A70" s="27" t="s">
        <v>57</v>
      </c>
      <c r="B70" s="27" t="s">
        <v>20</v>
      </c>
      <c r="C70" s="27">
        <v>201620</v>
      </c>
      <c r="D70" s="27">
        <v>20814</v>
      </c>
      <c r="E70" s="27" t="s">
        <v>0</v>
      </c>
      <c r="F70" s="27" t="s">
        <v>127</v>
      </c>
      <c r="G70" s="27" t="s">
        <v>124</v>
      </c>
      <c r="H70" s="27" t="s">
        <v>142</v>
      </c>
      <c r="I70" s="27" t="s">
        <v>145</v>
      </c>
      <c r="J70" s="27">
        <v>22</v>
      </c>
      <c r="K70" s="27">
        <v>22</v>
      </c>
      <c r="L70" s="27">
        <v>24</v>
      </c>
      <c r="M70" s="29">
        <v>0.91667</v>
      </c>
      <c r="N70" s="29">
        <v>0.91667</v>
      </c>
      <c r="O70" s="27">
        <v>3.38</v>
      </c>
      <c r="P70" s="27">
        <v>3.375</v>
      </c>
      <c r="Q70" s="27">
        <v>0.2</v>
      </c>
      <c r="R70" s="27">
        <v>405</v>
      </c>
      <c r="S70" s="27">
        <v>2.31</v>
      </c>
    </row>
    <row r="71" spans="1:19">
      <c r="A71" s="28" t="s">
        <v>57</v>
      </c>
      <c r="B71" s="28" t="s">
        <v>20</v>
      </c>
      <c r="C71" s="28">
        <v>201620</v>
      </c>
      <c r="D71" s="28">
        <v>20816</v>
      </c>
      <c r="E71" s="28" t="s">
        <v>0</v>
      </c>
      <c r="F71" s="28" t="s">
        <v>127</v>
      </c>
      <c r="G71" s="28" t="s">
        <v>124</v>
      </c>
      <c r="H71" s="28" t="s">
        <v>142</v>
      </c>
      <c r="I71" s="28" t="s">
        <v>145</v>
      </c>
      <c r="J71" s="28">
        <v>19</v>
      </c>
      <c r="K71" s="28">
        <v>21</v>
      </c>
      <c r="L71" s="28">
        <v>23</v>
      </c>
      <c r="M71" s="30">
        <v>0.82609</v>
      </c>
      <c r="N71" s="30">
        <v>0.91304</v>
      </c>
      <c r="O71" s="28">
        <v>2.96</v>
      </c>
      <c r="P71" s="28">
        <v>3.375</v>
      </c>
      <c r="Q71" s="28">
        <v>0.2</v>
      </c>
      <c r="R71" s="28">
        <v>388.13</v>
      </c>
      <c r="S71" s="28">
        <v>2.21</v>
      </c>
    </row>
    <row r="72" spans="1:19">
      <c r="A72" s="27" t="s">
        <v>58</v>
      </c>
      <c r="B72" s="27" t="s">
        <v>24</v>
      </c>
      <c r="C72" s="27">
        <v>201720</v>
      </c>
      <c r="D72" s="27">
        <v>21030</v>
      </c>
      <c r="E72" s="27" t="s">
        <v>0</v>
      </c>
      <c r="F72" s="27" t="s">
        <v>127</v>
      </c>
      <c r="G72" s="27" t="s">
        <v>124</v>
      </c>
      <c r="H72" s="27" t="s">
        <v>142</v>
      </c>
      <c r="I72" s="27" t="s">
        <v>145</v>
      </c>
      <c r="J72" s="27">
        <v>27</v>
      </c>
      <c r="K72" s="27">
        <v>28</v>
      </c>
      <c r="L72" s="27">
        <v>30</v>
      </c>
      <c r="M72" s="29">
        <v>0.9</v>
      </c>
      <c r="N72" s="29">
        <v>0.93333</v>
      </c>
      <c r="O72" s="27">
        <v>3.4</v>
      </c>
      <c r="P72" s="27">
        <v>3.375</v>
      </c>
      <c r="Q72" s="27">
        <v>0.2</v>
      </c>
      <c r="R72" s="27">
        <v>506.25</v>
      </c>
      <c r="S72" s="27">
        <v>2.89</v>
      </c>
    </row>
    <row r="73" spans="1:19">
      <c r="A73" s="28" t="s">
        <v>58</v>
      </c>
      <c r="B73" s="28" t="s">
        <v>24</v>
      </c>
      <c r="C73" s="28">
        <v>201720</v>
      </c>
      <c r="D73" s="28">
        <v>21160</v>
      </c>
      <c r="E73" s="28" t="s">
        <v>0</v>
      </c>
      <c r="F73" s="28" t="s">
        <v>127</v>
      </c>
      <c r="G73" s="28" t="s">
        <v>124</v>
      </c>
      <c r="H73" s="28" t="s">
        <v>142</v>
      </c>
      <c r="I73" s="28" t="s">
        <v>145</v>
      </c>
      <c r="J73" s="28">
        <v>17</v>
      </c>
      <c r="K73" s="28">
        <v>17</v>
      </c>
      <c r="L73" s="28">
        <v>18</v>
      </c>
      <c r="M73" s="30">
        <v>0.94444</v>
      </c>
      <c r="N73" s="30">
        <v>0.94444</v>
      </c>
      <c r="O73" s="28">
        <v>3.61</v>
      </c>
      <c r="P73" s="28">
        <v>3.375</v>
      </c>
      <c r="Q73" s="28">
        <v>0.2</v>
      </c>
      <c r="R73" s="28">
        <v>303.75</v>
      </c>
      <c r="S73" s="28">
        <v>1.73</v>
      </c>
    </row>
    <row r="74" spans="1:19">
      <c r="A74" s="27" t="s">
        <v>1</v>
      </c>
      <c r="B74" s="27" t="s">
        <v>28</v>
      </c>
      <c r="C74" s="27">
        <v>201820</v>
      </c>
      <c r="D74" s="27">
        <v>21030</v>
      </c>
      <c r="E74" s="27" t="s">
        <v>0</v>
      </c>
      <c r="F74" s="27" t="s">
        <v>127</v>
      </c>
      <c r="G74" s="27" t="s">
        <v>124</v>
      </c>
      <c r="H74" s="27" t="s">
        <v>142</v>
      </c>
      <c r="I74" s="27" t="s">
        <v>145</v>
      </c>
      <c r="J74" s="27">
        <v>24</v>
      </c>
      <c r="K74" s="27">
        <v>25</v>
      </c>
      <c r="L74" s="27">
        <v>27</v>
      </c>
      <c r="M74" s="29">
        <v>0.88889</v>
      </c>
      <c r="N74" s="29">
        <v>0.92593</v>
      </c>
      <c r="O74" s="27">
        <v>3.07</v>
      </c>
      <c r="P74" s="27">
        <v>3.375</v>
      </c>
      <c r="Q74" s="27">
        <v>0.2</v>
      </c>
      <c r="R74" s="27">
        <v>455.63</v>
      </c>
      <c r="S74" s="27">
        <v>2.6</v>
      </c>
    </row>
    <row r="75" spans="1:19">
      <c r="A75" s="28" t="s">
        <v>1</v>
      </c>
      <c r="B75" s="28" t="s">
        <v>28</v>
      </c>
      <c r="C75" s="28">
        <v>201820</v>
      </c>
      <c r="D75" s="28">
        <v>21211</v>
      </c>
      <c r="E75" s="28" t="s">
        <v>0</v>
      </c>
      <c r="F75" s="28" t="s">
        <v>127</v>
      </c>
      <c r="G75" s="28" t="s">
        <v>124</v>
      </c>
      <c r="H75" s="28" t="s">
        <v>142</v>
      </c>
      <c r="I75" s="28" t="s">
        <v>145</v>
      </c>
      <c r="J75" s="28">
        <v>16</v>
      </c>
      <c r="K75" s="28">
        <v>18</v>
      </c>
      <c r="L75" s="28">
        <v>20</v>
      </c>
      <c r="M75" s="30">
        <v>0.8</v>
      </c>
      <c r="N75" s="30">
        <v>0.9</v>
      </c>
      <c r="O75" s="28">
        <v>3.05</v>
      </c>
      <c r="P75" s="28">
        <v>3.375</v>
      </c>
      <c r="Q75" s="28">
        <v>0.2</v>
      </c>
      <c r="R75" s="28">
        <v>337.5</v>
      </c>
      <c r="S75" s="28">
        <v>1.93</v>
      </c>
    </row>
    <row r="76" spans="1:19">
      <c r="A76" s="27" t="s">
        <v>57</v>
      </c>
      <c r="B76" s="27" t="s">
        <v>20</v>
      </c>
      <c r="C76" s="27">
        <v>201620</v>
      </c>
      <c r="D76" s="27">
        <v>20815</v>
      </c>
      <c r="E76" s="27" t="s">
        <v>0</v>
      </c>
      <c r="F76" s="27" t="s">
        <v>128</v>
      </c>
      <c r="G76" s="27" t="s">
        <v>124</v>
      </c>
      <c r="H76" s="27" t="s">
        <v>142</v>
      </c>
      <c r="I76" s="27" t="s">
        <v>145</v>
      </c>
      <c r="J76" s="27">
        <v>36</v>
      </c>
      <c r="K76" s="27">
        <v>36</v>
      </c>
      <c r="L76" s="27">
        <v>38</v>
      </c>
      <c r="M76" s="29">
        <v>0.94737</v>
      </c>
      <c r="N76" s="29">
        <v>0.94737</v>
      </c>
      <c r="O76" s="27">
        <v>3.5</v>
      </c>
      <c r="P76" s="27">
        <v>3.375</v>
      </c>
      <c r="Q76" s="27">
        <v>0.27</v>
      </c>
      <c r="R76" s="27">
        <v>475</v>
      </c>
      <c r="S76" s="27">
        <v>3.66</v>
      </c>
    </row>
    <row r="77" spans="1:19">
      <c r="A77" s="28" t="s">
        <v>1</v>
      </c>
      <c r="B77" s="28" t="s">
        <v>26</v>
      </c>
      <c r="C77" s="28">
        <v>201810</v>
      </c>
      <c r="D77" s="28">
        <v>11162</v>
      </c>
      <c r="E77" s="28" t="s">
        <v>0</v>
      </c>
      <c r="F77" s="28" t="s">
        <v>128</v>
      </c>
      <c r="G77" s="28" t="s">
        <v>125</v>
      </c>
      <c r="H77" s="28" t="s">
        <v>142</v>
      </c>
      <c r="I77" s="28" t="s">
        <v>145</v>
      </c>
      <c r="J77" s="28">
        <v>38</v>
      </c>
      <c r="K77" s="28">
        <v>38</v>
      </c>
      <c r="L77" s="28">
        <v>46</v>
      </c>
      <c r="M77" s="30">
        <v>0.82609</v>
      </c>
      <c r="N77" s="30">
        <v>0.82609</v>
      </c>
      <c r="O77" s="28">
        <v>3.07</v>
      </c>
      <c r="P77" s="28">
        <v>3.375</v>
      </c>
      <c r="Q77" s="28">
        <v>0.2</v>
      </c>
      <c r="R77" s="28">
        <v>776.25</v>
      </c>
      <c r="S77" s="28">
        <v>4.43</v>
      </c>
    </row>
    <row r="78" spans="1:19">
      <c r="A78" s="27" t="s">
        <v>58</v>
      </c>
      <c r="B78" s="27" t="s">
        <v>24</v>
      </c>
      <c r="C78" s="27">
        <v>201720</v>
      </c>
      <c r="D78" s="27">
        <v>21053</v>
      </c>
      <c r="E78" s="27" t="s">
        <v>0</v>
      </c>
      <c r="F78" s="27" t="s">
        <v>129</v>
      </c>
      <c r="G78" s="27" t="s">
        <v>124</v>
      </c>
      <c r="H78" s="27" t="s">
        <v>142</v>
      </c>
      <c r="I78" s="27" t="s">
        <v>145</v>
      </c>
      <c r="J78" s="27">
        <v>21</v>
      </c>
      <c r="K78" s="27">
        <v>21</v>
      </c>
      <c r="L78" s="27">
        <v>29</v>
      </c>
      <c r="M78" s="29">
        <v>0.72414</v>
      </c>
      <c r="N78" s="29">
        <v>0.72414</v>
      </c>
      <c r="O78" s="27">
        <v>2.66</v>
      </c>
      <c r="P78" s="27">
        <v>3.375</v>
      </c>
      <c r="Q78" s="27">
        <v>0.2</v>
      </c>
      <c r="R78" s="27">
        <v>489.38</v>
      </c>
      <c r="S78" s="27">
        <v>2.79</v>
      </c>
    </row>
    <row r="79" spans="1:19">
      <c r="A79" s="28" t="s">
        <v>57</v>
      </c>
      <c r="B79" s="28" t="s">
        <v>18</v>
      </c>
      <c r="C79" s="28">
        <v>201610</v>
      </c>
      <c r="D79" s="28">
        <v>10446</v>
      </c>
      <c r="E79" s="28" t="s">
        <v>0</v>
      </c>
      <c r="F79" s="28" t="s">
        <v>130</v>
      </c>
      <c r="G79" s="28" t="s">
        <v>124</v>
      </c>
      <c r="H79" s="28" t="s">
        <v>142</v>
      </c>
      <c r="I79" s="28" t="s">
        <v>145</v>
      </c>
      <c r="J79" s="28">
        <v>20</v>
      </c>
      <c r="K79" s="28">
        <v>22</v>
      </c>
      <c r="L79" s="28">
        <v>24</v>
      </c>
      <c r="M79" s="30">
        <v>0.83333</v>
      </c>
      <c r="N79" s="30">
        <v>0.91667</v>
      </c>
      <c r="O79" s="28">
        <v>3.17</v>
      </c>
      <c r="P79" s="28">
        <v>3.375</v>
      </c>
      <c r="Q79" s="28">
        <v>0.2</v>
      </c>
      <c r="R79" s="28">
        <v>405</v>
      </c>
      <c r="S79" s="28">
        <v>2.31</v>
      </c>
    </row>
    <row r="80" spans="1:19">
      <c r="A80" s="27" t="s">
        <v>57</v>
      </c>
      <c r="B80" s="27" t="s">
        <v>18</v>
      </c>
      <c r="C80" s="27">
        <v>201610</v>
      </c>
      <c r="D80" s="27">
        <v>10448</v>
      </c>
      <c r="E80" s="27" t="s">
        <v>0</v>
      </c>
      <c r="F80" s="27" t="s">
        <v>130</v>
      </c>
      <c r="G80" s="27" t="s">
        <v>124</v>
      </c>
      <c r="H80" s="27" t="s">
        <v>142</v>
      </c>
      <c r="I80" s="27" t="s">
        <v>145</v>
      </c>
      <c r="J80" s="27">
        <v>18</v>
      </c>
      <c r="K80" s="27">
        <v>18</v>
      </c>
      <c r="L80" s="27">
        <v>22</v>
      </c>
      <c r="M80" s="29">
        <v>0.81818</v>
      </c>
      <c r="N80" s="29">
        <v>0.81818</v>
      </c>
      <c r="O80" s="27">
        <v>3</v>
      </c>
      <c r="P80" s="27">
        <v>3.375</v>
      </c>
      <c r="Q80" s="27">
        <v>0.2</v>
      </c>
      <c r="R80" s="27">
        <v>371.25</v>
      </c>
      <c r="S80" s="27">
        <v>2.12</v>
      </c>
    </row>
    <row r="81" spans="1:19">
      <c r="A81" s="28" t="s">
        <v>58</v>
      </c>
      <c r="B81" s="28" t="s">
        <v>22</v>
      </c>
      <c r="C81" s="28">
        <v>201710</v>
      </c>
      <c r="D81" s="28">
        <v>10446</v>
      </c>
      <c r="E81" s="28" t="s">
        <v>0</v>
      </c>
      <c r="F81" s="28" t="s">
        <v>130</v>
      </c>
      <c r="G81" s="28" t="s">
        <v>124</v>
      </c>
      <c r="H81" s="28" t="s">
        <v>142</v>
      </c>
      <c r="I81" s="28" t="s">
        <v>145</v>
      </c>
      <c r="J81" s="28">
        <v>23</v>
      </c>
      <c r="K81" s="28">
        <v>24</v>
      </c>
      <c r="L81" s="28">
        <v>25</v>
      </c>
      <c r="M81" s="30">
        <v>0.92</v>
      </c>
      <c r="N81" s="30">
        <v>0.96</v>
      </c>
      <c r="O81" s="28">
        <v>3.28</v>
      </c>
      <c r="P81" s="28">
        <v>3.375</v>
      </c>
      <c r="Q81" s="28">
        <v>0.2</v>
      </c>
      <c r="R81" s="28">
        <v>421.88</v>
      </c>
      <c r="S81" s="28">
        <v>2.41</v>
      </c>
    </row>
    <row r="82" spans="1:19">
      <c r="A82" s="27" t="s">
        <v>58</v>
      </c>
      <c r="B82" s="27" t="s">
        <v>22</v>
      </c>
      <c r="C82" s="27">
        <v>201710</v>
      </c>
      <c r="D82" s="27">
        <v>10448</v>
      </c>
      <c r="E82" s="27" t="s">
        <v>0</v>
      </c>
      <c r="F82" s="27" t="s">
        <v>130</v>
      </c>
      <c r="G82" s="27" t="s">
        <v>124</v>
      </c>
      <c r="H82" s="27" t="s">
        <v>142</v>
      </c>
      <c r="I82" s="27" t="s">
        <v>145</v>
      </c>
      <c r="J82" s="27">
        <v>25</v>
      </c>
      <c r="K82" s="27">
        <v>27</v>
      </c>
      <c r="L82" s="27">
        <v>29</v>
      </c>
      <c r="M82" s="29">
        <v>0.86207</v>
      </c>
      <c r="N82" s="29">
        <v>0.93103</v>
      </c>
      <c r="O82" s="27">
        <v>3.28</v>
      </c>
      <c r="P82" s="27">
        <v>3.375</v>
      </c>
      <c r="Q82" s="27">
        <v>0.2</v>
      </c>
      <c r="R82" s="27">
        <v>489.38</v>
      </c>
      <c r="S82" s="27">
        <v>2.79</v>
      </c>
    </row>
    <row r="83" spans="1:19">
      <c r="A83" s="28" t="s">
        <v>1</v>
      </c>
      <c r="B83" s="28" t="s">
        <v>26</v>
      </c>
      <c r="C83" s="28">
        <v>201810</v>
      </c>
      <c r="D83" s="28">
        <v>10446</v>
      </c>
      <c r="E83" s="28" t="s">
        <v>0</v>
      </c>
      <c r="F83" s="28" t="s">
        <v>130</v>
      </c>
      <c r="G83" s="28" t="s">
        <v>124</v>
      </c>
      <c r="H83" s="28" t="s">
        <v>142</v>
      </c>
      <c r="I83" s="28" t="s">
        <v>145</v>
      </c>
      <c r="J83" s="28">
        <v>25</v>
      </c>
      <c r="K83" s="28">
        <v>27</v>
      </c>
      <c r="L83" s="28">
        <v>28</v>
      </c>
      <c r="M83" s="30">
        <v>0.89286</v>
      </c>
      <c r="N83" s="30">
        <v>0.96429</v>
      </c>
      <c r="O83" s="28">
        <v>3.18</v>
      </c>
      <c r="P83" s="28">
        <v>3.375</v>
      </c>
      <c r="Q83" s="28">
        <v>0.2</v>
      </c>
      <c r="R83" s="28">
        <v>472.5</v>
      </c>
      <c r="S83" s="28">
        <v>2.7</v>
      </c>
    </row>
    <row r="84" spans="1:19">
      <c r="A84" s="27" t="s">
        <v>1</v>
      </c>
      <c r="B84" s="27" t="s">
        <v>26</v>
      </c>
      <c r="C84" s="27">
        <v>201810</v>
      </c>
      <c r="D84" s="27">
        <v>10448</v>
      </c>
      <c r="E84" s="27" t="s">
        <v>0</v>
      </c>
      <c r="F84" s="27" t="s">
        <v>130</v>
      </c>
      <c r="G84" s="27" t="s">
        <v>124</v>
      </c>
      <c r="H84" s="27" t="s">
        <v>142</v>
      </c>
      <c r="I84" s="27" t="s">
        <v>145</v>
      </c>
      <c r="J84" s="27">
        <v>25</v>
      </c>
      <c r="K84" s="27">
        <v>27</v>
      </c>
      <c r="L84" s="27">
        <v>28</v>
      </c>
      <c r="M84" s="29">
        <v>0.89286</v>
      </c>
      <c r="N84" s="29">
        <v>0.96429</v>
      </c>
      <c r="O84" s="27">
        <v>3.14</v>
      </c>
      <c r="P84" s="27">
        <v>3.375</v>
      </c>
      <c r="Q84" s="27">
        <v>0.2</v>
      </c>
      <c r="R84" s="27">
        <v>472.5</v>
      </c>
      <c r="S84" s="27">
        <v>2.7</v>
      </c>
    </row>
    <row r="85" spans="1:19">
      <c r="A85" s="28" t="s">
        <v>57</v>
      </c>
      <c r="B85" s="28" t="s">
        <v>20</v>
      </c>
      <c r="C85" s="28">
        <v>201620</v>
      </c>
      <c r="D85" s="28">
        <v>20813</v>
      </c>
      <c r="E85" s="28" t="s">
        <v>0</v>
      </c>
      <c r="F85" s="28" t="s">
        <v>131</v>
      </c>
      <c r="G85" s="28" t="s">
        <v>124</v>
      </c>
      <c r="H85" s="28" t="s">
        <v>142</v>
      </c>
      <c r="I85" s="28" t="s">
        <v>145</v>
      </c>
      <c r="J85" s="28">
        <v>20</v>
      </c>
      <c r="K85" s="28">
        <v>20</v>
      </c>
      <c r="L85" s="28">
        <v>20</v>
      </c>
      <c r="M85" s="30">
        <v>1</v>
      </c>
      <c r="N85" s="30">
        <v>1</v>
      </c>
      <c r="O85" s="28">
        <v>3.45</v>
      </c>
      <c r="P85" s="28">
        <v>3.375</v>
      </c>
      <c r="Q85" s="28">
        <v>0.2</v>
      </c>
      <c r="R85" s="28">
        <v>337.5</v>
      </c>
      <c r="S85" s="28">
        <v>1.93</v>
      </c>
    </row>
    <row r="86" spans="1:19">
      <c r="A86" s="27" t="s">
        <v>58</v>
      </c>
      <c r="B86" s="27" t="s">
        <v>24</v>
      </c>
      <c r="C86" s="27">
        <v>201720</v>
      </c>
      <c r="D86" s="27">
        <v>20813</v>
      </c>
      <c r="E86" s="27" t="s">
        <v>0</v>
      </c>
      <c r="F86" s="27" t="s">
        <v>131</v>
      </c>
      <c r="G86" s="27" t="s">
        <v>124</v>
      </c>
      <c r="H86" s="27" t="s">
        <v>142</v>
      </c>
      <c r="I86" s="27" t="s">
        <v>145</v>
      </c>
      <c r="J86" s="27">
        <v>23</v>
      </c>
      <c r="K86" s="27">
        <v>24</v>
      </c>
      <c r="L86" s="27">
        <v>25</v>
      </c>
      <c r="M86" s="29">
        <v>0.92</v>
      </c>
      <c r="N86" s="29">
        <v>0.96</v>
      </c>
      <c r="O86" s="27">
        <v>3.48</v>
      </c>
      <c r="P86" s="27">
        <v>3.375</v>
      </c>
      <c r="Q86" s="27">
        <v>0.2</v>
      </c>
      <c r="R86" s="27">
        <v>421.88</v>
      </c>
      <c r="S86" s="27">
        <v>2.41</v>
      </c>
    </row>
    <row r="87" spans="1:19">
      <c r="A87" s="28" t="s">
        <v>1</v>
      </c>
      <c r="B87" s="28" t="s">
        <v>28</v>
      </c>
      <c r="C87" s="28">
        <v>201820</v>
      </c>
      <c r="D87" s="28">
        <v>20813</v>
      </c>
      <c r="E87" s="28" t="s">
        <v>0</v>
      </c>
      <c r="F87" s="28" t="s">
        <v>131</v>
      </c>
      <c r="G87" s="28" t="s">
        <v>124</v>
      </c>
      <c r="H87" s="28" t="s">
        <v>142</v>
      </c>
      <c r="I87" s="28" t="s">
        <v>145</v>
      </c>
      <c r="J87" s="28">
        <v>21</v>
      </c>
      <c r="K87" s="28">
        <v>22</v>
      </c>
      <c r="L87" s="28">
        <v>25</v>
      </c>
      <c r="M87" s="30">
        <v>0.84</v>
      </c>
      <c r="N87" s="30">
        <v>0.88</v>
      </c>
      <c r="O87" s="28">
        <v>2.76</v>
      </c>
      <c r="P87" s="28">
        <v>3.375</v>
      </c>
      <c r="Q87" s="28">
        <v>0.2</v>
      </c>
      <c r="R87" s="28">
        <v>421.88</v>
      </c>
      <c r="S87" s="28">
        <v>2.41</v>
      </c>
    </row>
    <row r="88" spans="1:19">
      <c r="A88" s="27" t="s">
        <v>57</v>
      </c>
      <c r="B88" s="27" t="s">
        <v>18</v>
      </c>
      <c r="C88" s="27">
        <v>201610</v>
      </c>
      <c r="D88" s="27">
        <v>10447</v>
      </c>
      <c r="E88" s="27" t="s">
        <v>0</v>
      </c>
      <c r="F88" s="27" t="s">
        <v>132</v>
      </c>
      <c r="G88" s="27" t="s">
        <v>124</v>
      </c>
      <c r="H88" s="27" t="s">
        <v>142</v>
      </c>
      <c r="I88" s="27" t="s">
        <v>145</v>
      </c>
      <c r="J88" s="27">
        <v>10</v>
      </c>
      <c r="K88" s="27">
        <v>12</v>
      </c>
      <c r="L88" s="27">
        <v>16</v>
      </c>
      <c r="M88" s="29">
        <v>0.625</v>
      </c>
      <c r="N88" s="29">
        <v>0.75</v>
      </c>
      <c r="O88" s="27">
        <v>2.13</v>
      </c>
      <c r="P88" s="27">
        <v>3.375</v>
      </c>
      <c r="Q88" s="27">
        <v>0.2</v>
      </c>
      <c r="R88" s="27">
        <v>270</v>
      </c>
      <c r="S88" s="27">
        <v>1.54</v>
      </c>
    </row>
    <row r="89" spans="1:19">
      <c r="A89" s="28" t="s">
        <v>58</v>
      </c>
      <c r="B89" s="28" t="s">
        <v>22</v>
      </c>
      <c r="C89" s="28">
        <v>201710</v>
      </c>
      <c r="D89" s="28">
        <v>10447</v>
      </c>
      <c r="E89" s="28" t="s">
        <v>0</v>
      </c>
      <c r="F89" s="28" t="s">
        <v>132</v>
      </c>
      <c r="G89" s="28" t="s">
        <v>124</v>
      </c>
      <c r="H89" s="28" t="s">
        <v>142</v>
      </c>
      <c r="I89" s="28" t="s">
        <v>145</v>
      </c>
      <c r="J89" s="28">
        <v>16</v>
      </c>
      <c r="K89" s="28">
        <v>18</v>
      </c>
      <c r="L89" s="28">
        <v>19</v>
      </c>
      <c r="M89" s="30">
        <v>0.84211</v>
      </c>
      <c r="N89" s="30">
        <v>0.94737</v>
      </c>
      <c r="O89" s="28">
        <v>2.89</v>
      </c>
      <c r="P89" s="28">
        <v>3.375</v>
      </c>
      <c r="Q89" s="28">
        <v>0.2</v>
      </c>
      <c r="R89" s="28">
        <v>320.63</v>
      </c>
      <c r="S89" s="28">
        <v>1.83</v>
      </c>
    </row>
    <row r="90" spans="1:19">
      <c r="A90" s="27" t="s">
        <v>1</v>
      </c>
      <c r="B90" s="27" t="s">
        <v>26</v>
      </c>
      <c r="C90" s="27">
        <v>201810</v>
      </c>
      <c r="D90" s="27">
        <v>10447</v>
      </c>
      <c r="E90" s="27" t="s">
        <v>0</v>
      </c>
      <c r="F90" s="27" t="s">
        <v>132</v>
      </c>
      <c r="G90" s="27" t="s">
        <v>124</v>
      </c>
      <c r="H90" s="27" t="s">
        <v>142</v>
      </c>
      <c r="I90" s="27" t="s">
        <v>145</v>
      </c>
      <c r="J90" s="27">
        <v>13</v>
      </c>
      <c r="K90" s="27">
        <v>13</v>
      </c>
      <c r="L90" s="27">
        <v>19</v>
      </c>
      <c r="M90" s="29">
        <v>0.68421</v>
      </c>
      <c r="N90" s="29">
        <v>0.68421</v>
      </c>
      <c r="O90" s="27">
        <v>2.53</v>
      </c>
      <c r="P90" s="27">
        <v>3.375</v>
      </c>
      <c r="Q90" s="27">
        <v>0.2</v>
      </c>
      <c r="R90" s="27">
        <v>320.63</v>
      </c>
      <c r="S90" s="27">
        <v>1.83</v>
      </c>
    </row>
    <row r="91" spans="1:19">
      <c r="A91" s="28" t="s">
        <v>58</v>
      </c>
      <c r="B91" s="28" t="s">
        <v>24</v>
      </c>
      <c r="C91" s="28">
        <v>201720</v>
      </c>
      <c r="D91" s="28">
        <v>21052</v>
      </c>
      <c r="E91" s="28" t="s">
        <v>0</v>
      </c>
      <c r="F91" s="28" t="s">
        <v>133</v>
      </c>
      <c r="G91" s="28" t="s">
        <v>124</v>
      </c>
      <c r="H91" s="28" t="s">
        <v>142</v>
      </c>
      <c r="I91" s="28" t="s">
        <v>145</v>
      </c>
      <c r="J91" s="28">
        <v>11</v>
      </c>
      <c r="K91" s="28">
        <v>11</v>
      </c>
      <c r="L91" s="28">
        <v>14</v>
      </c>
      <c r="M91" s="30">
        <v>0.78571</v>
      </c>
      <c r="N91" s="30">
        <v>0.78571</v>
      </c>
      <c r="O91" s="28">
        <v>2.71</v>
      </c>
      <c r="P91" s="28">
        <v>3.375</v>
      </c>
      <c r="Q91" s="28">
        <v>0.2</v>
      </c>
      <c r="R91" s="28">
        <v>236.25</v>
      </c>
      <c r="S91" s="28">
        <v>1.35</v>
      </c>
    </row>
    <row r="92" spans="1:19">
      <c r="A92" s="27" t="s">
        <v>57</v>
      </c>
      <c r="B92" s="27" t="s">
        <v>18</v>
      </c>
      <c r="C92" s="27">
        <v>201610</v>
      </c>
      <c r="D92" s="27">
        <v>10449</v>
      </c>
      <c r="E92" s="27" t="s">
        <v>0</v>
      </c>
      <c r="F92" s="27" t="s">
        <v>134</v>
      </c>
      <c r="G92" s="27" t="s">
        <v>124</v>
      </c>
      <c r="H92" s="27" t="s">
        <v>142</v>
      </c>
      <c r="I92" s="27" t="s">
        <v>145</v>
      </c>
      <c r="J92" s="27">
        <v>9</v>
      </c>
      <c r="K92" s="27">
        <v>9</v>
      </c>
      <c r="L92" s="27">
        <v>9</v>
      </c>
      <c r="M92" s="29">
        <v>1</v>
      </c>
      <c r="N92" s="29">
        <v>1</v>
      </c>
      <c r="O92" s="27">
        <v>3</v>
      </c>
      <c r="P92" s="27">
        <v>3.375</v>
      </c>
      <c r="Q92" s="27">
        <v>0.2</v>
      </c>
      <c r="R92" s="27">
        <v>151.88</v>
      </c>
      <c r="S92" s="27">
        <v>0.87</v>
      </c>
    </row>
    <row r="93" spans="1:19">
      <c r="A93" s="28" t="s">
        <v>1</v>
      </c>
      <c r="B93" s="28" t="s">
        <v>26</v>
      </c>
      <c r="C93" s="28">
        <v>201810</v>
      </c>
      <c r="D93" s="28">
        <v>11181</v>
      </c>
      <c r="E93" s="28" t="s">
        <v>0</v>
      </c>
      <c r="F93" s="28" t="s">
        <v>134</v>
      </c>
      <c r="G93" s="28" t="s">
        <v>124</v>
      </c>
      <c r="H93" s="28" t="s">
        <v>142</v>
      </c>
      <c r="I93" s="28" t="s">
        <v>145</v>
      </c>
      <c r="J93" s="28">
        <v>7</v>
      </c>
      <c r="K93" s="28">
        <v>8</v>
      </c>
      <c r="L93" s="28">
        <v>10</v>
      </c>
      <c r="M93" s="30">
        <v>0.7</v>
      </c>
      <c r="N93" s="30">
        <v>0.8</v>
      </c>
      <c r="O93" s="28">
        <v>2.5</v>
      </c>
      <c r="P93" s="28">
        <v>3.375</v>
      </c>
      <c r="Q93" s="28">
        <v>0.2</v>
      </c>
      <c r="R93" s="28">
        <v>168.75</v>
      </c>
      <c r="S93" s="28">
        <v>0.96</v>
      </c>
    </row>
    <row r="94" spans="1:19">
      <c r="A94" s="27" t="s">
        <v>58</v>
      </c>
      <c r="B94" s="27" t="s">
        <v>22</v>
      </c>
      <c r="C94" s="27">
        <v>201710</v>
      </c>
      <c r="D94" s="27">
        <v>11070</v>
      </c>
      <c r="E94" s="27" t="s">
        <v>0</v>
      </c>
      <c r="F94" s="27" t="s">
        <v>135</v>
      </c>
      <c r="G94" s="27" t="s">
        <v>124</v>
      </c>
      <c r="H94" s="27" t="s">
        <v>142</v>
      </c>
      <c r="I94" s="27" t="s">
        <v>145</v>
      </c>
      <c r="J94" s="27">
        <v>27</v>
      </c>
      <c r="K94" s="27">
        <v>29</v>
      </c>
      <c r="L94" s="27">
        <v>31</v>
      </c>
      <c r="M94" s="29">
        <v>0.87097</v>
      </c>
      <c r="N94" s="29">
        <v>0.93548</v>
      </c>
      <c r="O94" s="27">
        <v>3.13</v>
      </c>
      <c r="P94" s="27">
        <v>3.375</v>
      </c>
      <c r="Q94" s="27">
        <v>0.2</v>
      </c>
      <c r="R94" s="27">
        <v>523.13</v>
      </c>
      <c r="S94" s="27">
        <v>2.98</v>
      </c>
    </row>
    <row r="95" spans="1:19">
      <c r="A95" s="28" t="s">
        <v>1</v>
      </c>
      <c r="B95" s="28" t="s">
        <v>28</v>
      </c>
      <c r="C95" s="28">
        <v>201820</v>
      </c>
      <c r="D95" s="28">
        <v>21212</v>
      </c>
      <c r="E95" s="28" t="s">
        <v>0</v>
      </c>
      <c r="F95" s="28" t="s">
        <v>135</v>
      </c>
      <c r="G95" s="28" t="s">
        <v>124</v>
      </c>
      <c r="H95" s="28" t="s">
        <v>142</v>
      </c>
      <c r="I95" s="28" t="s">
        <v>145</v>
      </c>
      <c r="J95" s="28">
        <v>25</v>
      </c>
      <c r="K95" s="28">
        <v>26</v>
      </c>
      <c r="L95" s="28">
        <v>27</v>
      </c>
      <c r="M95" s="30">
        <v>0.92593</v>
      </c>
      <c r="N95" s="30">
        <v>0.96296</v>
      </c>
      <c r="O95" s="28">
        <v>3.04</v>
      </c>
      <c r="P95" s="28">
        <v>3.375</v>
      </c>
      <c r="Q95" s="28">
        <v>0.2</v>
      </c>
      <c r="R95" s="28">
        <v>455.63</v>
      </c>
      <c r="S95" s="28">
        <v>2.6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S95"/>
  <mergeCells>
    <mergeCell ref="A1:S1"/>
    <mergeCell ref="A2:S2"/>
    <mergeCell ref="A3:S3"/>
  </mergeCells>
  <conditionalFormatting sqref="M6:M95">
    <cfRule type="cellIs" dxfId="0" priority="1" operator="lessThan">
      <formula>0.7</formula>
    </cfRule>
  </conditionalFormatting>
  <conditionalFormatting sqref="N6:N95">
    <cfRule type="cellIs" dxfId="1" priority="2" operator="lessThan">
      <formula>0.86</formula>
    </cfRule>
  </conditionalFormatting>
  <conditionalFormatting sqref="R6:R95">
    <cfRule type="cellIs" dxfId="2" priority="3" operator="lessThan">
      <formula>565</formula>
    </cfRule>
  </conditionalFormatting>
  <conditionalFormatting sqref="R6:R95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&amp;L&amp;B2018-2019 IVC Research Report for AMSL&amp;RPrinted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F. SUCC &amp; RET BY GENDER</vt:lpstr>
      <vt:lpstr>H. COURSE DATA</vt:lpstr>
      <vt:lpstr>I. 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Institutional Research</dc:creator>
  <cp:lastModifiedBy>Office of Institutional Research</cp:lastModifiedBy>
  <dcterms:created xsi:type="dcterms:W3CDTF">2018-08-14T23:44:36+02:00</dcterms:created>
  <dcterms:modified xsi:type="dcterms:W3CDTF">2018-08-14T23:44:36+02:00</dcterms:modified>
  <dc:title>2018-2019 IVC Research Report for AMSL</dc:title>
  <dc:description>AMSL Specific Report Generated from Banner Data.</dc:description>
  <dc:subject>2018-2019 IVC Research Report for AMSL</dc:subject>
  <cp:keywords/>
  <cp:category/>
</cp:coreProperties>
</file>