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F. SUCC &amp; RET BY GENDER" sheetId="7" r:id="rId10"/>
    <sheet name="H. COURSE DATA" sheetId="8" r:id="rId11"/>
    <sheet name="I. SECTION DATA" sheetId="9" r:id="rId12"/>
    <sheet name="Worksheet" sheetId="10" r:id="rId13"/>
  </sheets>
  <definedNames>
    <definedName name="course_data">'H. COURSE DATA'!$A$5:$T$11</definedName>
    <definedName name="_xlnm._FilterDatabase" localSheetId="7" hidden="1">'H. COURSE DATA'!$A$5:$T$11</definedName>
    <definedName name="_xlnm.Print_Titles" localSheetId="7">'H. COURSE DATA'!$5:$5</definedName>
    <definedName name="_xlnm._FilterDatabase" localSheetId="8" hidden="1">'I. SECTION DATA'!$A$5:$S$11</definedName>
    <definedName name="_xlnm.Print_Titles" localSheetId="8">'I. SECTION DATA'!$5:$5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<sst xmlns="http://schemas.openxmlformats.org/spreadsheetml/2006/main" uniqueCount="134">
  <si>
    <t>ARAB</t>
  </si>
  <si>
    <t>2017-2018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</si>
  <si>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</si>
  <si>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</si>
  <si>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</si>
  <si>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</si>
  <si>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</si>
  <si>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</si>
  <si>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</si>
  <si>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</si>
  <si>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</si>
  <si>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</si>
  <si>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</si>
  <si>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Term</t>
  </si>
  <si>
    <t>Sections</t>
  </si>
  <si>
    <t>Fill</t>
  </si>
  <si>
    <t>Enroll</t>
  </si>
  <si>
    <t>Mass Cap</t>
  </si>
  <si>
    <t>Fall 2014</t>
  </si>
  <si>
    <t>Winter 2015</t>
  </si>
  <si>
    <t>Spring 2015</t>
  </si>
  <si>
    <t>Summer 2015</t>
  </si>
  <si>
    <t>Fall 2015</t>
  </si>
  <si>
    <t>Winter 2016</t>
  </si>
  <si>
    <t>Spring 2016</t>
  </si>
  <si>
    <t>Summer 2016</t>
  </si>
  <si>
    <t>Fall 2016</t>
  </si>
  <si>
    <t>Winter 2017</t>
  </si>
  <si>
    <t>Spring 2017</t>
  </si>
  <si>
    <t>Summer 2017</t>
  </si>
  <si>
    <t>Totals &amp; Averages:</t>
  </si>
  <si>
    <t>Academic Year</t>
  </si>
  <si>
    <t>2013-2014-2015</t>
  </si>
  <si>
    <t>2014-2015-2016</t>
  </si>
  <si>
    <t>2015-2016-2017</t>
  </si>
  <si>
    <t>Data Definitions and Calculations</t>
  </si>
  <si>
    <t>Academic Year:</t>
  </si>
  <si>
    <t>Period of time schools use to measure a quantity of study. Academic year for Imperial Valley College is from July 1st to June 30th.</t>
  </si>
  <si>
    <t>Day Sections:</t>
  </si>
  <si>
    <t>Indicates whether this course section is a day class, courses before 4:30pm.</t>
  </si>
  <si>
    <t>Enrollment:</t>
  </si>
  <si>
    <t>The number of students in the class. Students may be enrolled in more than one course and would be counted in each course for the term.</t>
  </si>
  <si>
    <t>Extended Day:</t>
  </si>
  <si>
    <t>Indicates whether this course section is an evening class, courses after 4:30 pm.</t>
  </si>
  <si>
    <t>Fill:</t>
  </si>
  <si>
    <t>Metric used to measure demand of a course/section. Enrollment is divided by the class mass cap. ( Enrollment / Mass Cap ) = Fill Rate</t>
  </si>
  <si>
    <t>Mass Cap:</t>
  </si>
  <si>
    <t>Refers to the class capacity, maximum number of students a teacher may face during a given period of instruction.</t>
  </si>
  <si>
    <t>Online:</t>
  </si>
  <si>
    <t>Indicates whether this course section is online.</t>
  </si>
  <si>
    <t>Section:</t>
  </si>
  <si>
    <t>An offering of a course.</t>
  </si>
  <si>
    <t>b. Productivity</t>
  </si>
  <si>
    <t>What are the trends in productivity?</t>
  </si>
  <si>
    <t>WSCH</t>
  </si>
  <si>
    <t>FTEF</t>
  </si>
  <si>
    <t>WSCH/FTEF</t>
  </si>
  <si>
    <t>2014-2015</t>
  </si>
  <si>
    <t>2015-2016</t>
  </si>
  <si>
    <t>2016-2017</t>
  </si>
  <si>
    <t>Disclaimer: This report reflects Productivity using the 16-week Term Length Multiplier (TLM).</t>
  </si>
  <si>
    <t>Please do not compare Productivity to previous program review reports using the 18-week TLM.</t>
  </si>
  <si>
    <t>FTEF:</t>
  </si>
  <si>
    <t>In a FTEF, a faculty member’s actual workload is standardized against the teaching load. Thus, FTEF does not represent an actual number of faculty members; it is a conceptual measure workload at an academic department, or an institution. The formula to calculate FTEF is expressed by the equation below: FTEF = WFCH / Contract teaching load of the discipline where WFCH = standard course hours</t>
  </si>
  <si>
    <t>Productivity (WSCH/FTEF):</t>
  </si>
  <si>
    <t>Statewide, a measure of efficiency is WSCH/FTEF where WSCH is divided by the Full-time Equivalent Faculty (FTEF).  This tells us how much of a faculty load it takes to generate a given WSCH. District has established 565 as the target WSCH/FTEF standard.</t>
  </si>
  <si>
    <t>Weekly Student Contact Hours (WSCH):</t>
  </si>
  <si>
    <t>It presents a total number of hours faculty contacted students weekly in an academic department or an institution. WSCH = census enrollment x class hours per week (WCH).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</si>
  <si>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</si>
  <si>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</si>
  <si>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</si>
  <si>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</si>
  <si>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</si>
  <si>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Retention:</t>
  </si>
  <si>
    <t>The rate or count of students retained in a class at the end of the semester. Retention rate = (A,B,C,D,F,N,P,I)/(A,B,C,D,F,P,N,I,W).</t>
  </si>
  <si>
    <t>Success:</t>
  </si>
  <si>
    <t>The rate or count of students who received a passing grade of A, B, C, P at the end of the semester. Success rate = (A,B,C,P)/(A,B,C,D,F,P,N,W,I)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</si>
  <si>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</si>
  <si>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</si>
  <si>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</si>
  <si>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</si>
  <si>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</si>
  <si>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</si>
  <si>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</si>
  <si>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</si>
  <si>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</si>
  <si>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</si>
  <si>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</si>
  <si>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The rate or count of students retained in a class at the end of the semester. Retention rate = (A,B,C,D,F,N,P,I)/(A,B,C,D,F,P,N,I,W)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</si>
  <si>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</si>
  <si>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</si>
  <si>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</si>
  <si>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</si>
  <si>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</si>
  <si>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</si>
  <si>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</si>
  <si>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</si>
  <si>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</si>
  <si>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f. Success and Retention by Gender</t>
  </si>
  <si>
    <t>Discuss the success and retention rates by the gender of our students.</t>
  </si>
  <si>
    <t>Female</t>
  </si>
  <si>
    <t>Male</t>
  </si>
  <si>
    <t>Unknown</t>
  </si>
  <si>
    <t>H. Course Data</t>
  </si>
  <si>
    <t>Analyze the raw course data information if needed.</t>
  </si>
  <si>
    <t>To create an Excel table simply click a cell inside of the data below, then switch to the Insert tab above and click on Table and it will give you more filtering features.</t>
  </si>
  <si>
    <t>ACADEMIC_YEAR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</si>
  <si>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</si>
  <si>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</si>
  <si>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</si>
  <si>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</si>
  <si>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</si>
  <si>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</si>
  <si>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</si>
  <si>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</si>
  <si>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</si>
  <si>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SUCCESS_NUMERATOR</t>
  </si>
  <si>
    <t>SUCCESS</t>
  </si>
  <si>
    <t>RETENTION_NUMERATOR</t>
  </si>
  <si>
    <t>RETENTION</t>
  </si>
  <si>
    <t>WCH</t>
  </si>
  <si>
    <t>PRODUCTIVITY</t>
  </si>
  <si>
    <t>FTES</t>
  </si>
  <si>
    <t>WSCH_PER_FTES</t>
  </si>
  <si>
    <t>ARAB100</t>
  </si>
  <si>
    <t>ex_day</t>
  </si>
  <si>
    <t>i. Section Data</t>
  </si>
  <si>
    <t>Analyze the raw section data information if needed.</t>
  </si>
  <si>
    <t>CRN</t>
  </si>
  <si>
    <t>DURATION</t>
  </si>
  <si>
    <t>INSTRUCTOR</t>
  </si>
  <si>
    <t>AVG_GPA</t>
  </si>
  <si>
    <t>Full Term</t>
  </si>
  <si>
    <t>Abdin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</si>
</sst>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CD2E26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3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5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5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4" numFmtId="0" fillId="0" borderId="0" applyFont="1" applyNumberFormat="0" applyFill="0" applyBorder="0" applyAlignment="1">
      <alignment horizontal="right" vertical="top" textRotation="0" wrapText="true" shrinkToFit="false"/>
    </xf>
    <xf xfId="0" fontId="7" numFmtId="0" fillId="3" borderId="1" applyFont="1" applyNumberFormat="0" applyFill="1" applyBorder="1" applyAlignment="1">
      <alignment horizontal="left" vertical="bottom" textRotation="0" wrapText="false" shrinkToFit="false"/>
    </xf>
    <xf xfId="0" fontId="7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4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4" borderId="1" applyFont="0" applyNumberFormat="1" applyFill="1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4"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9C0006"/>
      </font>
      <fill>
        <patternFill patternType="solid">
          <bgColor rgb="FFFFC7CE"/>
        </patternFill>
      </fill>
      <alignment/>
      <border/>
    </dxf>
    <dxf>
      <font>
        <b val="1"/>
        <color rgb="FF006100"/>
      </font>
      <fill>
        <patternFill patternType="solid">
          <bgColor rgb="FFC6EFCE"/>
        </patternFill>
      </fill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15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"/>
  <sheetViews>
    <sheetView tabSelected="0" workbookViewId="0" showGridLines="true" showRowColHeaders="1">
      <selection activeCell="A37" sqref="A37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14</v>
      </c>
      <c r="G5" s="9" t="s">
        <v>15</v>
      </c>
      <c r="H5" s="9" t="s">
        <v>16</v>
      </c>
      <c r="I5" s="9" t="s">
        <v>17</v>
      </c>
      <c r="J5" s="9" t="s">
        <v>14</v>
      </c>
      <c r="K5" s="9" t="s">
        <v>15</v>
      </c>
      <c r="L5" s="9" t="s">
        <v>16</v>
      </c>
      <c r="M5" s="9" t="s">
        <v>17</v>
      </c>
    </row>
    <row r="6" spans="1:13">
      <c r="A6" s="10" t="s">
        <v>18</v>
      </c>
      <c r="B6" s="11">
        <v>0</v>
      </c>
      <c r="C6" s="12" t="str">
        <f>IF(E6=0, 0, (D6/E6))</f>
        <v>0</v>
      </c>
      <c r="D6" s="11">
        <v>0</v>
      </c>
      <c r="E6" s="11">
        <v>0</v>
      </c>
      <c r="F6" s="11">
        <v>1</v>
      </c>
      <c r="G6" s="12" t="str">
        <f>IF(I6=0, 0, (H6/I6))</f>
        <v>0</v>
      </c>
      <c r="H6" s="11">
        <v>24</v>
      </c>
      <c r="I6" s="11">
        <v>28</v>
      </c>
      <c r="J6" s="11">
        <v>0</v>
      </c>
      <c r="K6" s="12" t="str">
        <f>IF(M6=0, 0, (L6/M6))</f>
        <v>0</v>
      </c>
      <c r="L6" s="11">
        <v>0</v>
      </c>
      <c r="M6" s="11">
        <v>0</v>
      </c>
    </row>
    <row r="7" spans="1:13">
      <c r="A7" s="10" t="s">
        <v>19</v>
      </c>
      <c r="B7" s="10">
        <v>0</v>
      </c>
      <c r="C7" s="13" t="str">
        <f>IF(E7=0, 0, (D7/E7))</f>
        <v>0</v>
      </c>
      <c r="D7" s="10">
        <v>0</v>
      </c>
      <c r="E7" s="10">
        <v>0</v>
      </c>
      <c r="F7" s="10">
        <v>0</v>
      </c>
      <c r="G7" s="13" t="str">
        <f>IF(I7=0, 0, (H7/I7))</f>
        <v>0</v>
      </c>
      <c r="H7" s="10">
        <v>0</v>
      </c>
      <c r="I7" s="10">
        <v>0</v>
      </c>
      <c r="J7" s="10">
        <v>0</v>
      </c>
      <c r="K7" s="13" t="str">
        <f>IF(M7=0, 0, (L7/M7))</f>
        <v>0</v>
      </c>
      <c r="L7" s="10">
        <v>0</v>
      </c>
      <c r="M7" s="10">
        <v>0</v>
      </c>
    </row>
    <row r="8" spans="1:13">
      <c r="A8" s="10" t="s">
        <v>20</v>
      </c>
      <c r="B8" s="11">
        <v>0</v>
      </c>
      <c r="C8" s="12" t="str">
        <f>IF(E8=0, 0, (D8/E8))</f>
        <v>0</v>
      </c>
      <c r="D8" s="11">
        <v>0</v>
      </c>
      <c r="E8" s="11">
        <v>0</v>
      </c>
      <c r="F8" s="11">
        <v>1</v>
      </c>
      <c r="G8" s="12" t="str">
        <f>IF(I8=0, 0, (H8/I8))</f>
        <v>0</v>
      </c>
      <c r="H8" s="11">
        <v>21</v>
      </c>
      <c r="I8" s="11">
        <v>28</v>
      </c>
      <c r="J8" s="11">
        <v>0</v>
      </c>
      <c r="K8" s="12" t="str">
        <f>IF(M8=0, 0, (L8/M8))</f>
        <v>0</v>
      </c>
      <c r="L8" s="11">
        <v>0</v>
      </c>
      <c r="M8" s="11">
        <v>0</v>
      </c>
    </row>
    <row r="9" spans="1:13">
      <c r="A9" s="10" t="s">
        <v>21</v>
      </c>
      <c r="B9" s="10">
        <v>0</v>
      </c>
      <c r="C9" s="13" t="str">
        <f>IF(E9=0, 0, (D9/E9))</f>
        <v>0</v>
      </c>
      <c r="D9" s="10">
        <v>0</v>
      </c>
      <c r="E9" s="10">
        <v>0</v>
      </c>
      <c r="F9" s="10">
        <v>0</v>
      </c>
      <c r="G9" s="13" t="str">
        <f>IF(I9=0, 0, (H9/I9))</f>
        <v>0</v>
      </c>
      <c r="H9" s="10">
        <v>0</v>
      </c>
      <c r="I9" s="10">
        <v>0</v>
      </c>
      <c r="J9" s="10">
        <v>0</v>
      </c>
      <c r="K9" s="13" t="str">
        <f>IF(M9=0, 0, (L9/M9))</f>
        <v>0</v>
      </c>
      <c r="L9" s="10">
        <v>0</v>
      </c>
      <c r="M9" s="10">
        <v>0</v>
      </c>
    </row>
    <row r="10" spans="1:13">
      <c r="A10" s="10" t="s">
        <v>22</v>
      </c>
      <c r="B10" s="11">
        <v>0</v>
      </c>
      <c r="C10" s="12" t="str">
        <f>IF(E10=0, 0, (D10/E10))</f>
        <v>0</v>
      </c>
      <c r="D10" s="11">
        <v>0</v>
      </c>
      <c r="E10" s="11">
        <v>0</v>
      </c>
      <c r="F10" s="11">
        <v>1</v>
      </c>
      <c r="G10" s="12" t="str">
        <f>IF(I10=0, 0, (H10/I10))</f>
        <v>0</v>
      </c>
      <c r="H10" s="11">
        <v>27</v>
      </c>
      <c r="I10" s="11">
        <v>28</v>
      </c>
      <c r="J10" s="11">
        <v>0</v>
      </c>
      <c r="K10" s="12" t="str">
        <f>IF(M10=0, 0, (L10/M10))</f>
        <v>0</v>
      </c>
      <c r="L10" s="11">
        <v>0</v>
      </c>
      <c r="M10" s="11">
        <v>0</v>
      </c>
    </row>
    <row r="11" spans="1:13">
      <c r="A11" s="10" t="s">
        <v>23</v>
      </c>
      <c r="B11" s="10">
        <v>0</v>
      </c>
      <c r="C11" s="13" t="str">
        <f>IF(E11=0, 0, (D11/E11))</f>
        <v>0</v>
      </c>
      <c r="D11" s="10">
        <v>0</v>
      </c>
      <c r="E11" s="10">
        <v>0</v>
      </c>
      <c r="F11" s="10">
        <v>0</v>
      </c>
      <c r="G11" s="13" t="str">
        <f>IF(I11=0, 0, (H11/I11))</f>
        <v>0</v>
      </c>
      <c r="H11" s="10">
        <v>0</v>
      </c>
      <c r="I11" s="10">
        <v>0</v>
      </c>
      <c r="J11" s="10">
        <v>0</v>
      </c>
      <c r="K11" s="13" t="str">
        <f>IF(M11=0, 0, (L11/M11))</f>
        <v>0</v>
      </c>
      <c r="L11" s="10">
        <v>0</v>
      </c>
      <c r="M11" s="10">
        <v>0</v>
      </c>
    </row>
    <row r="12" spans="1:13">
      <c r="A12" s="10" t="s">
        <v>24</v>
      </c>
      <c r="B12" s="11">
        <v>0</v>
      </c>
      <c r="C12" s="12" t="str">
        <f>IF(E12=0, 0, (D12/E12))</f>
        <v>0</v>
      </c>
      <c r="D12" s="11">
        <v>0</v>
      </c>
      <c r="E12" s="11">
        <v>0</v>
      </c>
      <c r="F12" s="11">
        <v>1</v>
      </c>
      <c r="G12" s="12" t="str">
        <f>IF(I12=0, 0, (H12/I12))</f>
        <v>0</v>
      </c>
      <c r="H12" s="11">
        <v>27</v>
      </c>
      <c r="I12" s="11">
        <v>28</v>
      </c>
      <c r="J12" s="11">
        <v>0</v>
      </c>
      <c r="K12" s="12" t="str">
        <f>IF(M12=0, 0, (L12/M12))</f>
        <v>0</v>
      </c>
      <c r="L12" s="11">
        <v>0</v>
      </c>
      <c r="M12" s="11">
        <v>0</v>
      </c>
    </row>
    <row r="13" spans="1:13">
      <c r="A13" s="10" t="s">
        <v>25</v>
      </c>
      <c r="B13" s="10">
        <v>0</v>
      </c>
      <c r="C13" s="13" t="str">
        <f>IF(E13=0, 0, (D13/E13))</f>
        <v>0</v>
      </c>
      <c r="D13" s="10">
        <v>0</v>
      </c>
      <c r="E13" s="10">
        <v>0</v>
      </c>
      <c r="F13" s="10">
        <v>0</v>
      </c>
      <c r="G13" s="13" t="str">
        <f>IF(I13=0, 0, (H13/I13))</f>
        <v>0</v>
      </c>
      <c r="H13" s="10">
        <v>0</v>
      </c>
      <c r="I13" s="10">
        <v>0</v>
      </c>
      <c r="J13" s="10">
        <v>0</v>
      </c>
      <c r="K13" s="13" t="str">
        <f>IF(M13=0, 0, (L13/M13))</f>
        <v>0</v>
      </c>
      <c r="L13" s="10">
        <v>0</v>
      </c>
      <c r="M13" s="10">
        <v>0</v>
      </c>
    </row>
    <row r="14" spans="1:13">
      <c r="A14" s="10" t="s">
        <v>26</v>
      </c>
      <c r="B14" s="11">
        <v>0</v>
      </c>
      <c r="C14" s="12" t="str">
        <f>IF(E14=0, 0, (D14/E14))</f>
        <v>0</v>
      </c>
      <c r="D14" s="11">
        <v>0</v>
      </c>
      <c r="E14" s="11">
        <v>0</v>
      </c>
      <c r="F14" s="11">
        <v>1</v>
      </c>
      <c r="G14" s="12" t="str">
        <f>IF(I14=0, 0, (H14/I14))</f>
        <v>0</v>
      </c>
      <c r="H14" s="11">
        <v>22</v>
      </c>
      <c r="I14" s="11">
        <v>30</v>
      </c>
      <c r="J14" s="11">
        <v>0</v>
      </c>
      <c r="K14" s="12" t="str">
        <f>IF(M14=0, 0, (L14/M14))</f>
        <v>0</v>
      </c>
      <c r="L14" s="11">
        <v>0</v>
      </c>
      <c r="M14" s="11">
        <v>0</v>
      </c>
    </row>
    <row r="15" spans="1:13">
      <c r="A15" s="10" t="s">
        <v>27</v>
      </c>
      <c r="B15" s="10">
        <v>0</v>
      </c>
      <c r="C15" s="13" t="str">
        <f>IF(E15=0, 0, (D15/E15))</f>
        <v>0</v>
      </c>
      <c r="D15" s="10">
        <v>0</v>
      </c>
      <c r="E15" s="10">
        <v>0</v>
      </c>
      <c r="F15" s="10">
        <v>0</v>
      </c>
      <c r="G15" s="13" t="str">
        <f>IF(I15=0, 0, (H15/I15))</f>
        <v>0</v>
      </c>
      <c r="H15" s="10">
        <v>0</v>
      </c>
      <c r="I15" s="10">
        <v>0</v>
      </c>
      <c r="J15" s="10">
        <v>0</v>
      </c>
      <c r="K15" s="13" t="str">
        <f>IF(M15=0, 0, (L15/M15))</f>
        <v>0</v>
      </c>
      <c r="L15" s="10">
        <v>0</v>
      </c>
      <c r="M15" s="10">
        <v>0</v>
      </c>
    </row>
    <row r="16" spans="1:13">
      <c r="A16" s="10" t="s">
        <v>28</v>
      </c>
      <c r="B16" s="11">
        <v>0</v>
      </c>
      <c r="C16" s="12" t="str">
        <f>IF(E16=0, 0, (D16/E16))</f>
        <v>0</v>
      </c>
      <c r="D16" s="11">
        <v>0</v>
      </c>
      <c r="E16" s="11">
        <v>0</v>
      </c>
      <c r="F16" s="11">
        <v>1</v>
      </c>
      <c r="G16" s="12" t="str">
        <f>IF(I16=0, 0, (H16/I16))</f>
        <v>0</v>
      </c>
      <c r="H16" s="11">
        <v>23</v>
      </c>
      <c r="I16" s="11">
        <v>30</v>
      </c>
      <c r="J16" s="11">
        <v>0</v>
      </c>
      <c r="K16" s="12" t="str">
        <f>IF(M16=0, 0, (L16/M16))</f>
        <v>0</v>
      </c>
      <c r="L16" s="11">
        <v>0</v>
      </c>
      <c r="M16" s="11">
        <v>0</v>
      </c>
    </row>
    <row r="17" spans="1:13">
      <c r="A17" s="10" t="s">
        <v>29</v>
      </c>
      <c r="B17" s="10">
        <v>0</v>
      </c>
      <c r="C17" s="13" t="str">
        <f>IF(E17=0, 0, (D17/E17))</f>
        <v>0</v>
      </c>
      <c r="D17" s="10">
        <v>0</v>
      </c>
      <c r="E17" s="10">
        <v>0</v>
      </c>
      <c r="F17" s="10">
        <v>0</v>
      </c>
      <c r="G17" s="13" t="str">
        <f>IF(I17=0, 0, (H17/I17))</f>
        <v>0</v>
      </c>
      <c r="H17" s="10">
        <v>0</v>
      </c>
      <c r="I17" s="10">
        <v>0</v>
      </c>
      <c r="J17" s="10">
        <v>0</v>
      </c>
      <c r="K17" s="13" t="str">
        <f>IF(M17=0, 0, (L17/M17))</f>
        <v>0</v>
      </c>
      <c r="L17" s="10">
        <v>0</v>
      </c>
      <c r="M17" s="10">
        <v>0</v>
      </c>
    </row>
    <row r="18" spans="1:13">
      <c r="A18" s="14" t="s">
        <v>30</v>
      </c>
      <c r="B18" s="15" t="str">
        <f>SUM(B6:B17)</f>
        <v>0</v>
      </c>
      <c r="C18" s="16" t="str">
        <f>IF(E18=0, 0, (D18/E18))</f>
        <v>0</v>
      </c>
      <c r="D18" s="15" t="str">
        <f>SUM(D6:D17)</f>
        <v>0</v>
      </c>
      <c r="E18" s="15" t="str">
        <f>SUM(E6:E17)</f>
        <v>0</v>
      </c>
      <c r="F18" s="15" t="str">
        <f>SUM(F6:F17)</f>
        <v>0</v>
      </c>
      <c r="G18" s="16" t="str">
        <f>IF(I18=0, 0, (H18/I18))</f>
        <v>0</v>
      </c>
      <c r="H18" s="15" t="str">
        <f>SUM(H6:H17)</f>
        <v>0</v>
      </c>
      <c r="I18" s="15" t="str">
        <f>SUM(I6:I17)</f>
        <v>0</v>
      </c>
      <c r="J18" s="15" t="str">
        <f>SUM(J6:J17)</f>
        <v>0</v>
      </c>
      <c r="K18" s="16" t="str">
        <f>IF(M18=0, 0, (L18/M18))</f>
        <v>0</v>
      </c>
      <c r="L18" s="15" t="str">
        <f>SUM(L6:L17)</f>
        <v>0</v>
      </c>
      <c r="M18" s="15" t="str">
        <f>SUM(M6:M17)</f>
        <v>0</v>
      </c>
    </row>
    <row r="20" spans="1:13">
      <c r="B20" s="9" t="s">
        <v>10</v>
      </c>
      <c r="C20" s="9"/>
      <c r="D20" s="9"/>
      <c r="E20" s="9"/>
      <c r="F20" s="9" t="s">
        <v>11</v>
      </c>
      <c r="G20" s="9"/>
      <c r="H20" s="9"/>
      <c r="I20" s="9"/>
      <c r="J20" s="9" t="s">
        <v>12</v>
      </c>
      <c r="K20" s="9"/>
      <c r="L20" s="9"/>
      <c r="M20" s="9"/>
    </row>
    <row r="21" spans="1:13">
      <c r="A21" s="9" t="s">
        <v>31</v>
      </c>
      <c r="B21" s="9" t="s">
        <v>14</v>
      </c>
      <c r="C21" s="9" t="s">
        <v>15</v>
      </c>
      <c r="D21" s="9" t="s">
        <v>16</v>
      </c>
      <c r="E21" s="9" t="s">
        <v>17</v>
      </c>
      <c r="F21" s="9" t="s">
        <v>14</v>
      </c>
      <c r="G21" s="9" t="s">
        <v>15</v>
      </c>
      <c r="H21" s="9" t="s">
        <v>16</v>
      </c>
      <c r="I21" s="9" t="s">
        <v>17</v>
      </c>
      <c r="J21" s="9" t="s">
        <v>14</v>
      </c>
      <c r="K21" s="9" t="s">
        <v>15</v>
      </c>
      <c r="L21" s="9" t="s">
        <v>16</v>
      </c>
      <c r="M21" s="9" t="s">
        <v>17</v>
      </c>
    </row>
    <row r="22" spans="1:13">
      <c r="A22" s="10" t="s">
        <v>32</v>
      </c>
      <c r="B22" s="11">
        <v>0</v>
      </c>
      <c r="C22" s="12" t="str">
        <f>IF(E22=0, 0, (D22/E22))</f>
        <v>0</v>
      </c>
      <c r="D22" s="11">
        <v>0</v>
      </c>
      <c r="E22" s="11">
        <v>0</v>
      </c>
      <c r="F22" s="11">
        <v>2</v>
      </c>
      <c r="G22" s="12" t="str">
        <f>IF(I22=0, 0, (H22/I22))</f>
        <v>0</v>
      </c>
      <c r="H22" s="11">
        <v>45</v>
      </c>
      <c r="I22" s="11">
        <v>56</v>
      </c>
      <c r="J22" s="11">
        <v>0</v>
      </c>
      <c r="K22" s="12" t="str">
        <f>IF(M22=0, 0, (L22/M22))</f>
        <v>0</v>
      </c>
      <c r="L22" s="11">
        <v>0</v>
      </c>
      <c r="M22" s="11">
        <v>0</v>
      </c>
    </row>
    <row r="23" spans="1:13">
      <c r="A23" s="10" t="s">
        <v>33</v>
      </c>
      <c r="B23" s="10">
        <v>0</v>
      </c>
      <c r="C23" s="13" t="str">
        <f>IF(E23=0, 0, (D23/E23))</f>
        <v>0</v>
      </c>
      <c r="D23" s="10">
        <v>0</v>
      </c>
      <c r="E23" s="10">
        <v>0</v>
      </c>
      <c r="F23" s="10">
        <v>2</v>
      </c>
      <c r="G23" s="13" t="str">
        <f>IF(I23=0, 0, (H23/I23))</f>
        <v>0</v>
      </c>
      <c r="H23" s="10">
        <v>54</v>
      </c>
      <c r="I23" s="10">
        <v>56</v>
      </c>
      <c r="J23" s="10">
        <v>0</v>
      </c>
      <c r="K23" s="13" t="str">
        <f>IF(M23=0, 0, (L23/M23))</f>
        <v>0</v>
      </c>
      <c r="L23" s="10">
        <v>0</v>
      </c>
      <c r="M23" s="10">
        <v>0</v>
      </c>
    </row>
    <row r="24" spans="1:13">
      <c r="A24" s="10" t="s">
        <v>34</v>
      </c>
      <c r="B24" s="11">
        <v>0</v>
      </c>
      <c r="C24" s="12" t="str">
        <f>IF(E24=0, 0, (D24/E24))</f>
        <v>0</v>
      </c>
      <c r="D24" s="11">
        <v>0</v>
      </c>
      <c r="E24" s="11">
        <v>0</v>
      </c>
      <c r="F24" s="11">
        <v>2</v>
      </c>
      <c r="G24" s="12" t="str">
        <f>IF(I24=0, 0, (H24/I24))</f>
        <v>0</v>
      </c>
      <c r="H24" s="11">
        <v>45</v>
      </c>
      <c r="I24" s="11">
        <v>60</v>
      </c>
      <c r="J24" s="11">
        <v>0</v>
      </c>
      <c r="K24" s="12" t="str">
        <f>IF(M24=0, 0, (L24/M24))</f>
        <v>0</v>
      </c>
      <c r="L24" s="11">
        <v>0</v>
      </c>
      <c r="M24" s="11">
        <v>0</v>
      </c>
    </row>
    <row r="25" spans="1:13">
      <c r="A25" s="14" t="s">
        <v>30</v>
      </c>
      <c r="B25" s="15" t="str">
        <f>SUM(B22:B24)</f>
        <v>0</v>
      </c>
      <c r="C25" s="16" t="str">
        <f>IF(E25=0, 0, (D25/E25))</f>
        <v>0</v>
      </c>
      <c r="D25" s="15" t="str">
        <f>SUM(D22:D24)</f>
        <v>0</v>
      </c>
      <c r="E25" s="15" t="str">
        <f>SUM(E22:E24)</f>
        <v>0</v>
      </c>
      <c r="F25" s="15" t="str">
        <f>SUM(F22:F24)</f>
        <v>0</v>
      </c>
      <c r="G25" s="16" t="str">
        <f>IF(I25=0, 0, (H25/I25))</f>
        <v>0</v>
      </c>
      <c r="H25" s="15" t="str">
        <f>SUM(H22:H24)</f>
        <v>0</v>
      </c>
      <c r="I25" s="15" t="str">
        <f>SUM(I22:I24)</f>
        <v>0</v>
      </c>
      <c r="J25" s="15" t="str">
        <f>SUM(J22:J24)</f>
        <v>0</v>
      </c>
      <c r="K25" s="16" t="str">
        <f>IF(M25=0, 0, (L25/M25))</f>
        <v>0</v>
      </c>
      <c r="L25" s="15" t="str">
        <f>SUM(L22:L24)</f>
        <v>0</v>
      </c>
      <c r="M25" s="15" t="str">
        <f>SUM(M22:M24)</f>
        <v>0</v>
      </c>
    </row>
    <row r="28" spans="1:13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</row>
    <row r="30" spans="1:13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</row>
    <row r="31" spans="1:13">
      <c r="A31" s="17" t="s">
        <v>38</v>
      </c>
      <c r="B31" s="18"/>
      <c r="C31" t="s">
        <v>39</v>
      </c>
      <c r="D31"/>
      <c r="E31"/>
      <c r="F31"/>
      <c r="G31"/>
      <c r="H31"/>
      <c r="I31"/>
      <c r="J31"/>
      <c r="K31"/>
      <c r="L31"/>
      <c r="M31"/>
    </row>
    <row r="32" spans="1:13">
      <c r="A32" s="17" t="s">
        <v>40</v>
      </c>
      <c r="B32" s="18"/>
      <c r="C32" t="s">
        <v>41</v>
      </c>
      <c r="D32"/>
      <c r="E32"/>
      <c r="F32"/>
      <c r="G32"/>
      <c r="H32"/>
      <c r="I32"/>
      <c r="J32"/>
      <c r="K32"/>
      <c r="L32"/>
      <c r="M32"/>
    </row>
    <row r="33" spans="1:13">
      <c r="A33" s="17" t="s">
        <v>42</v>
      </c>
      <c r="B33" s="18"/>
      <c r="C33" t="s">
        <v>43</v>
      </c>
      <c r="D33"/>
      <c r="E33"/>
      <c r="F33"/>
      <c r="G33"/>
      <c r="H33"/>
      <c r="I33"/>
      <c r="J33"/>
      <c r="K33"/>
      <c r="L33"/>
      <c r="M33"/>
    </row>
    <row r="34" spans="1:13">
      <c r="A34" s="17" t="s">
        <v>44</v>
      </c>
      <c r="B34" s="18"/>
      <c r="C34" t="s">
        <v>45</v>
      </c>
      <c r="D34"/>
      <c r="E34"/>
      <c r="F34"/>
      <c r="G34"/>
      <c r="H34"/>
      <c r="I34"/>
      <c r="J34"/>
      <c r="K34"/>
      <c r="L34"/>
      <c r="M34"/>
    </row>
    <row r="35" spans="1:13">
      <c r="A35" s="17" t="s">
        <v>46</v>
      </c>
      <c r="B35" s="18"/>
      <c r="C35" t="s">
        <v>47</v>
      </c>
      <c r="D35"/>
      <c r="E35"/>
      <c r="F35"/>
      <c r="G35"/>
      <c r="H35"/>
      <c r="I35"/>
      <c r="J35"/>
      <c r="K35"/>
      <c r="L35"/>
      <c r="M35"/>
    </row>
    <row r="36" spans="1:13">
      <c r="A36" s="17" t="s">
        <v>48</v>
      </c>
      <c r="B36" s="18"/>
      <c r="C36" t="s">
        <v>49</v>
      </c>
      <c r="D36"/>
      <c r="E36"/>
      <c r="F36"/>
      <c r="G36"/>
      <c r="H36"/>
      <c r="I36"/>
      <c r="J36"/>
      <c r="K36"/>
      <c r="L36"/>
      <c r="M36"/>
    </row>
    <row r="37" spans="1:13">
      <c r="A37" s="17" t="s">
        <v>50</v>
      </c>
      <c r="B37" s="18"/>
      <c r="C37" t="s">
        <v>51</v>
      </c>
      <c r="D37"/>
      <c r="E37"/>
      <c r="F37"/>
      <c r="G37"/>
      <c r="H37"/>
      <c r="I37"/>
      <c r="J37"/>
      <c r="K37"/>
      <c r="L37"/>
      <c r="M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  <mergeCell ref="B20:E20"/>
    <mergeCell ref="F20:I20"/>
    <mergeCell ref="J20:M20"/>
    <mergeCell ref="A28:M28"/>
    <mergeCell ref="A30:B30"/>
    <mergeCell ref="C30:M30"/>
    <mergeCell ref="A31:B31"/>
    <mergeCell ref="C31:M31"/>
    <mergeCell ref="A32:B32"/>
    <mergeCell ref="C32:M32"/>
    <mergeCell ref="A33:B33"/>
    <mergeCell ref="C33:M33"/>
    <mergeCell ref="A34:B34"/>
    <mergeCell ref="C34:M34"/>
    <mergeCell ref="A35:B35"/>
    <mergeCell ref="C35:M35"/>
    <mergeCell ref="A36:B36"/>
    <mergeCell ref="C36:M36"/>
    <mergeCell ref="A37:B37"/>
    <mergeCell ref="C37:M37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4"/>
  <sheetViews>
    <sheetView tabSelected="0" workbookViewId="0" showGridLines="true" showRowColHeaders="1">
      <selection activeCell="C34" sqref="C34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52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53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 t="s">
        <v>13</v>
      </c>
      <c r="B4" s="9" t="s">
        <v>54</v>
      </c>
      <c r="C4" s="9" t="s">
        <v>55</v>
      </c>
      <c r="D4" s="9" t="s">
        <v>56</v>
      </c>
      <c r="E4" s="1"/>
      <c r="F4" s="1"/>
    </row>
    <row r="5" spans="1:10">
      <c r="A5" s="10" t="s">
        <v>18</v>
      </c>
      <c r="B5" s="10" t="str">
        <f>SUMIFS(INDEX(course_data, 0, 16), INDEX(course_data, 0, 3), "=201510")</f>
        <v>0</v>
      </c>
      <c r="C5" s="10" t="str">
        <f>SUMIFS(INDEX(course_data, 0, 17), INDEX(course_data, 0, 3), "=201510")</f>
        <v>0</v>
      </c>
      <c r="D5" s="10" t="str">
        <f>IF(B5=0, 0, ROUND((B5/C5), 2))</f>
        <v>0</v>
      </c>
    </row>
    <row r="6" spans="1:10">
      <c r="A6" s="10" t="s">
        <v>19</v>
      </c>
      <c r="B6" s="11" t="str">
        <f>SUMIFS(INDEX(course_data, 0, 16), INDEX(course_data, 0, 3), "=201515")</f>
        <v>0</v>
      </c>
      <c r="C6" s="11" t="str">
        <f>SUMIFS(INDEX(course_data, 0, 17), INDEX(course_data, 0, 3), "=201515")</f>
        <v>0</v>
      </c>
      <c r="D6" s="11" t="str">
        <f>IF(B6=0, 0, ROUND((B6/C6), 2))</f>
        <v>0</v>
      </c>
    </row>
    <row r="7" spans="1:10">
      <c r="A7" s="10" t="s">
        <v>20</v>
      </c>
      <c r="B7" s="10" t="str">
        <f>SUMIFS(INDEX(course_data, 0, 16), INDEX(course_data, 0, 3), "=201520")</f>
        <v>0</v>
      </c>
      <c r="C7" s="10" t="str">
        <f>SUMIFS(INDEX(course_data, 0, 17), INDEX(course_data, 0, 3), "=201520")</f>
        <v>0</v>
      </c>
      <c r="D7" s="10" t="str">
        <f>IF(B7=0, 0, ROUND((B7/C7), 2))</f>
        <v>0</v>
      </c>
    </row>
    <row r="8" spans="1:10">
      <c r="A8" s="10" t="s">
        <v>21</v>
      </c>
      <c r="B8" s="11" t="str">
        <f>SUMIFS(INDEX(course_data, 0, 16), INDEX(course_data, 0, 3), "=201530")</f>
        <v>0</v>
      </c>
      <c r="C8" s="11" t="str">
        <f>SUMIFS(INDEX(course_data, 0, 17), INDEX(course_data, 0, 3), "=201530")</f>
        <v>0</v>
      </c>
      <c r="D8" s="11" t="str">
        <f>IF(B8=0, 0, ROUND((B8/C8), 2))</f>
        <v>0</v>
      </c>
    </row>
    <row r="9" spans="1:10">
      <c r="A9" s="10" t="s">
        <v>22</v>
      </c>
      <c r="B9" s="10" t="str">
        <f>SUMIFS(INDEX(course_data, 0, 16), INDEX(course_data, 0, 3), "=201610")</f>
        <v>0</v>
      </c>
      <c r="C9" s="10" t="str">
        <f>SUMIFS(INDEX(course_data, 0, 17), INDEX(course_data, 0, 3), "=201610")</f>
        <v>0</v>
      </c>
      <c r="D9" s="10" t="str">
        <f>IF(B9=0, 0, ROUND((B9/C9), 2))</f>
        <v>0</v>
      </c>
    </row>
    <row r="10" spans="1:10">
      <c r="A10" s="10" t="s">
        <v>23</v>
      </c>
      <c r="B10" s="11" t="str">
        <f>SUMIFS(INDEX(course_data, 0, 16), INDEX(course_data, 0, 3), "=201615")</f>
        <v>0</v>
      </c>
      <c r="C10" s="11" t="str">
        <f>SUMIFS(INDEX(course_data, 0, 17), INDEX(course_data, 0, 3), "=201615")</f>
        <v>0</v>
      </c>
      <c r="D10" s="11" t="str">
        <f>IF(B10=0, 0, ROUND((B10/C10), 2))</f>
        <v>0</v>
      </c>
    </row>
    <row r="11" spans="1:10">
      <c r="A11" s="10" t="s">
        <v>24</v>
      </c>
      <c r="B11" s="10" t="str">
        <f>SUMIFS(INDEX(course_data, 0, 16), INDEX(course_data, 0, 3), "=201620")</f>
        <v>0</v>
      </c>
      <c r="C11" s="10" t="str">
        <f>SUMIFS(INDEX(course_data, 0, 17), INDEX(course_data, 0, 3), "=201620")</f>
        <v>0</v>
      </c>
      <c r="D11" s="10" t="str">
        <f>IF(B11=0, 0, ROUND((B11/C11), 2))</f>
        <v>0</v>
      </c>
    </row>
    <row r="12" spans="1:10">
      <c r="A12" s="10" t="s">
        <v>25</v>
      </c>
      <c r="B12" s="11" t="str">
        <f>SUMIFS(INDEX(course_data, 0, 16), INDEX(course_data, 0, 3), "=201630")</f>
        <v>0</v>
      </c>
      <c r="C12" s="11" t="str">
        <f>SUMIFS(INDEX(course_data, 0, 17), INDEX(course_data, 0, 3), "=201630")</f>
        <v>0</v>
      </c>
      <c r="D12" s="11" t="str">
        <f>IF(B12=0, 0, ROUND((B12/C12), 2))</f>
        <v>0</v>
      </c>
    </row>
    <row r="13" spans="1:10">
      <c r="A13" s="10" t="s">
        <v>26</v>
      </c>
      <c r="B13" s="10" t="str">
        <f>SUMIFS(INDEX(course_data, 0, 16), INDEX(course_data, 0, 3), "=201710")</f>
        <v>0</v>
      </c>
      <c r="C13" s="10" t="str">
        <f>SUMIFS(INDEX(course_data, 0, 17), INDEX(course_data, 0, 3), "=201710")</f>
        <v>0</v>
      </c>
      <c r="D13" s="10" t="str">
        <f>IF(B13=0, 0, ROUND((B13/C13), 2))</f>
        <v>0</v>
      </c>
    </row>
    <row r="14" spans="1:10">
      <c r="A14" s="10" t="s">
        <v>27</v>
      </c>
      <c r="B14" s="11" t="str">
        <f>SUMIFS(INDEX(course_data, 0, 16), INDEX(course_data, 0, 3), "=201715")</f>
        <v>0</v>
      </c>
      <c r="C14" s="11" t="str">
        <f>SUMIFS(INDEX(course_data, 0, 17), INDEX(course_data, 0, 3), "=201715")</f>
        <v>0</v>
      </c>
      <c r="D14" s="11" t="str">
        <f>IF(B14=0, 0, ROUND((B14/C14), 2))</f>
        <v>0</v>
      </c>
    </row>
    <row r="15" spans="1:10">
      <c r="A15" s="10" t="s">
        <v>28</v>
      </c>
      <c r="B15" s="10" t="str">
        <f>SUMIFS(INDEX(course_data, 0, 16), INDEX(course_data, 0, 3), "=201720")</f>
        <v>0</v>
      </c>
      <c r="C15" s="10" t="str">
        <f>SUMIFS(INDEX(course_data, 0, 17), INDEX(course_data, 0, 3), "=201720")</f>
        <v>0</v>
      </c>
      <c r="D15" s="10" t="str">
        <f>IF(B15=0, 0, ROUND((B15/C15), 2))</f>
        <v>0</v>
      </c>
    </row>
    <row r="16" spans="1:10">
      <c r="A16" s="10" t="s">
        <v>29</v>
      </c>
      <c r="B16" s="11" t="str">
        <f>SUMIFS(INDEX(course_data, 0, 16), INDEX(course_data, 0, 3), "=201730")</f>
        <v>0</v>
      </c>
      <c r="C16" s="11" t="str">
        <f>SUMIFS(INDEX(course_data, 0, 17), INDEX(course_data, 0, 3), "=201730")</f>
        <v>0</v>
      </c>
      <c r="D16" s="11" t="str">
        <f>IF(B16=0, 0, ROUND((B16/C16), 2))</f>
        <v>0</v>
      </c>
    </row>
    <row r="19" spans="1:10">
      <c r="A19" s="9" t="s">
        <v>31</v>
      </c>
      <c r="B19" s="9" t="s">
        <v>54</v>
      </c>
      <c r="C19" s="9" t="s">
        <v>55</v>
      </c>
      <c r="D19" s="9" t="s">
        <v>56</v>
      </c>
      <c r="E19" s="1"/>
      <c r="F19" s="1"/>
    </row>
    <row r="20" spans="1:10">
      <c r="A20" s="10" t="s">
        <v>57</v>
      </c>
      <c r="B20" s="11" t="str">
        <f>SUMIFS(INDEX(course_data, 0, 16), INDEX(course_data, 0, 1), "=2014-2015")</f>
        <v>0</v>
      </c>
      <c r="C20" s="11" t="str">
        <f>SUMIFS(INDEX(course_data, 0, 17), INDEX(course_data, 0, 1), "=2014-2015")</f>
        <v>0</v>
      </c>
      <c r="D20" s="11" t="str">
        <f>IF(B20=0, 0, ROUND((B20/C20), 2))</f>
        <v>0</v>
      </c>
    </row>
    <row r="21" spans="1:10">
      <c r="A21" s="10" t="s">
        <v>58</v>
      </c>
      <c r="B21" s="10" t="str">
        <f>SUMIFS(INDEX(course_data, 0, 16), INDEX(course_data, 0, 1), "=2015-2016")</f>
        <v>0</v>
      </c>
      <c r="C21" s="10" t="str">
        <f>SUMIFS(INDEX(course_data, 0, 17), INDEX(course_data, 0, 1), "=2015-2016")</f>
        <v>0</v>
      </c>
      <c r="D21" s="10" t="str">
        <f>IF(B21=0, 0, ROUND((B21/C21), 2))</f>
        <v>0</v>
      </c>
    </row>
    <row r="22" spans="1:10">
      <c r="A22" s="10" t="s">
        <v>59</v>
      </c>
      <c r="B22" s="11" t="str">
        <f>SUMIFS(INDEX(course_data, 0, 16), INDEX(course_data, 0, 1), "=2016-2017")</f>
        <v>0</v>
      </c>
      <c r="C22" s="11" t="str">
        <f>SUMIFS(INDEX(course_data, 0, 17), INDEX(course_data, 0, 1), "=2016-2017")</f>
        <v>0</v>
      </c>
      <c r="D22" s="11" t="str">
        <f>IF(B22=0, 0, ROUND((B22/C22), 2))</f>
        <v>0</v>
      </c>
    </row>
    <row r="25" spans="1:10">
      <c r="A25" s="19" t="s">
        <v>60</v>
      </c>
      <c r="B25" s="20"/>
      <c r="C25" s="20"/>
      <c r="D25" s="20"/>
      <c r="E25" s="20"/>
      <c r="F25" s="20"/>
      <c r="G25" s="20"/>
      <c r="H25" s="20"/>
      <c r="I25" s="20"/>
      <c r="J25" s="20"/>
    </row>
    <row r="26" spans="1:10">
      <c r="A26" s="19" t="s">
        <v>61</v>
      </c>
      <c r="B26" s="20"/>
      <c r="C26" s="20"/>
      <c r="D26" s="20"/>
      <c r="E26" s="20"/>
      <c r="F26" s="20"/>
      <c r="G26" s="20"/>
      <c r="H26" s="20"/>
      <c r="I26" s="20"/>
      <c r="J26" s="20"/>
    </row>
    <row r="29" spans="1:10">
      <c r="A29" s="6" t="s">
        <v>35</v>
      </c>
      <c r="B29" s="8"/>
      <c r="C29" s="8"/>
      <c r="D29" s="8"/>
      <c r="E29" s="8"/>
      <c r="F29" s="8"/>
      <c r="G29" s="8"/>
      <c r="H29" s="8"/>
      <c r="I29" s="8"/>
      <c r="J29" s="8"/>
    </row>
    <row r="31" spans="1:10">
      <c r="A31" s="17" t="s">
        <v>36</v>
      </c>
      <c r="B31" s="18"/>
      <c r="C31" s="21" t="s">
        <v>37</v>
      </c>
      <c r="D31"/>
      <c r="E31"/>
      <c r="F31"/>
      <c r="G31"/>
      <c r="H31"/>
      <c r="I31"/>
      <c r="J31"/>
    </row>
    <row r="32" spans="1:10" customHeight="1" ht="40">
      <c r="A32" s="22" t="s">
        <v>62</v>
      </c>
      <c r="B32" s="18"/>
      <c r="C32" s="23" t="s">
        <v>63</v>
      </c>
      <c r="D32"/>
      <c r="E32"/>
      <c r="F32"/>
      <c r="G32"/>
      <c r="H32"/>
      <c r="I32"/>
      <c r="J32"/>
    </row>
    <row r="33" spans="1:10" customHeight="1" ht="30">
      <c r="A33" s="22" t="s">
        <v>64</v>
      </c>
      <c r="B33" s="18"/>
      <c r="C33" s="23" t="s">
        <v>65</v>
      </c>
      <c r="D33"/>
      <c r="E33"/>
      <c r="F33"/>
      <c r="G33"/>
      <c r="H33"/>
      <c r="I33"/>
      <c r="J33"/>
    </row>
    <row r="34" spans="1:10" customHeight="1" ht="30">
      <c r="A34" s="24" t="s">
        <v>66</v>
      </c>
      <c r="B34" s="18"/>
      <c r="C34" s="23" t="s">
        <v>67</v>
      </c>
      <c r="D34"/>
      <c r="E34"/>
      <c r="F34"/>
      <c r="G34"/>
      <c r="H34"/>
      <c r="I34"/>
      <c r="J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25:J25"/>
    <mergeCell ref="A26:J26"/>
    <mergeCell ref="A29:J29"/>
    <mergeCell ref="A31:B31"/>
    <mergeCell ref="C31:J31"/>
    <mergeCell ref="A32:B32"/>
    <mergeCell ref="C32:J32"/>
    <mergeCell ref="A33:B33"/>
    <mergeCell ref="C33:J33"/>
    <mergeCell ref="A34:B34"/>
    <mergeCell ref="C34:J3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0" workbookViewId="0" showGridLines="true" showRowColHeaders="1">
      <selection activeCell="A36" sqref="A36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68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69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A5" s="9" t="s">
        <v>13</v>
      </c>
      <c r="B5" s="9" t="s">
        <v>70</v>
      </c>
      <c r="C5" s="9" t="s">
        <v>71</v>
      </c>
      <c r="D5" s="9" t="s">
        <v>72</v>
      </c>
      <c r="E5" s="9" t="s">
        <v>70</v>
      </c>
      <c r="F5" s="9" t="s">
        <v>71</v>
      </c>
      <c r="G5" s="9" t="s">
        <v>72</v>
      </c>
      <c r="H5" s="9" t="s">
        <v>70</v>
      </c>
      <c r="I5" s="9" t="s">
        <v>71</v>
      </c>
      <c r="J5" s="9" t="s">
        <v>72</v>
      </c>
    </row>
    <row r="6" spans="1:10">
      <c r="A6" s="10" t="s">
        <v>18</v>
      </c>
      <c r="B6" s="11" t="str">
        <f>SUMIFS(INDEX(course_data, 0, 10), INDEX(course_data, 0, 3), "=201510", INDEX(course_data, 0, 6), "=day")</f>
        <v>0</v>
      </c>
      <c r="C6" s="12" t="str">
        <f>IF(B6=0, 0, ((SUMIFS(INDEX(course_data, 0, 11), INDEX(course_data, 0, 3), "=201510", INDEX(course_data, 0, 6), "=day"))/B6))</f>
        <v>0</v>
      </c>
      <c r="D6" s="12" t="str">
        <f>IF(B6=0, 0, ((SUMIFS(INDEX(course_data, 0, 13), INDEX(course_data, 0, 3), "=201510", INDEX(course_data, 0, 6), "=day"))/B6))</f>
        <v>0</v>
      </c>
      <c r="E6" s="11" t="str">
        <f>SUMIFS(INDEX(course_data, 0, 10), INDEX(course_data, 0, 3), "=201510", INDEX(course_data, 0, 6), "=ex_day")</f>
        <v>0</v>
      </c>
      <c r="F6" s="12" t="str">
        <f>IF(E6=0, 0, ((SUMIFS(INDEX(course_data, 0, 11), INDEX(course_data, 0, 3), "=201510", INDEX(course_data, 0, 6), "=ex_day"))/E6))</f>
        <v>0</v>
      </c>
      <c r="G6" s="12" t="str">
        <f>IF(E6=0, 0, ((SUMIFS(INDEX(course_data, 0, 13), INDEX(course_data, 0, 3), "=201510", INDEX(course_data, 0, 6), "=ex_day"))/E6))</f>
        <v>0</v>
      </c>
      <c r="H6" s="11" t="str">
        <f>SUMIFS(INDEX(course_data, 0, 10), INDEX(course_data, 0, 3), "=201510", INDEX(course_data, 0, 6), "=online")</f>
        <v>0</v>
      </c>
      <c r="I6" s="12" t="str">
        <f>IF(H6=0, 0, ((SUMIFS(INDEX(course_data, 0, 11), INDEX(course_data, 0, 3), "=201510", INDEX(course_data, 0, 6), "=online"))/H6))</f>
        <v>0</v>
      </c>
      <c r="J6" s="12" t="str">
        <f>IF(H6=0, 0, ((SUMIFS(INDEX(course_data, 0, 13), INDEX(course_data, 0, 3), "=201510", INDEX(course_data, 0, 6), "=online"))/H6))</f>
        <v>0</v>
      </c>
    </row>
    <row r="7" spans="1:10">
      <c r="A7" s="10" t="s">
        <v>19</v>
      </c>
      <c r="B7" s="10" t="str">
        <f>SUMIFS(INDEX(course_data, 0, 10), INDEX(course_data, 0, 3), "=201515", INDEX(course_data, 0, 6), "=day")</f>
        <v>0</v>
      </c>
      <c r="C7" s="13" t="str">
        <f>IF(B7=0, 0, ((SUMIFS(INDEX(course_data, 0, 11), INDEX(course_data, 0, 3), "=201515", INDEX(course_data, 0, 6), "=day"))/B7))</f>
        <v>0</v>
      </c>
      <c r="D7" s="13" t="str">
        <f>IF(B7=0, 0, ((SUMIFS(INDEX(course_data, 0, 13), INDEX(course_data, 0, 3), "=201515", INDEX(course_data, 0, 6), "=day"))/B7))</f>
        <v>0</v>
      </c>
      <c r="E7" s="10" t="str">
        <f>SUMIFS(INDEX(course_data, 0, 10), INDEX(course_data, 0, 3), "=201515", INDEX(course_data, 0, 6), "=ex_day")</f>
        <v>0</v>
      </c>
      <c r="F7" s="13" t="str">
        <f>IF(E7=0, 0, ((SUMIFS(INDEX(course_data, 0, 11), INDEX(course_data, 0, 3), "=201515", INDEX(course_data, 0, 6), "=ex_day"))/E7))</f>
        <v>0</v>
      </c>
      <c r="G7" s="13" t="str">
        <f>IF(E7=0, 0, ((SUMIFS(INDEX(course_data, 0, 13), INDEX(course_data, 0, 3), "=201515", INDEX(course_data, 0, 6), "=ex_day"))/E7))</f>
        <v>0</v>
      </c>
      <c r="H7" s="10" t="str">
        <f>SUMIFS(INDEX(course_data, 0, 10), INDEX(course_data, 0, 3), "=201515", INDEX(course_data, 0, 6), "=online")</f>
        <v>0</v>
      </c>
      <c r="I7" s="13" t="str">
        <f>IF(H7=0, 0, ((SUMIFS(INDEX(course_data, 0, 11), INDEX(course_data, 0, 3), "=201515", INDEX(course_data, 0, 6), "=online"))/H7))</f>
        <v>0</v>
      </c>
      <c r="J7" s="13" t="str">
        <f>IF(H7=0, 0, ((SUMIFS(INDEX(course_data, 0, 13), INDEX(course_data, 0, 3), "=201515", INDEX(course_data, 0, 6), "=online"))/H7))</f>
        <v>0</v>
      </c>
    </row>
    <row r="8" spans="1:10">
      <c r="A8" s="10" t="s">
        <v>20</v>
      </c>
      <c r="B8" s="11" t="str">
        <f>SUMIFS(INDEX(course_data, 0, 10), INDEX(course_data, 0, 3), "=201520", INDEX(course_data, 0, 6), "=day")</f>
        <v>0</v>
      </c>
      <c r="C8" s="12" t="str">
        <f>IF(B8=0, 0, ((SUMIFS(INDEX(course_data, 0, 11), INDEX(course_data, 0, 3), "=201520", INDEX(course_data, 0, 6), "=day"))/B8))</f>
        <v>0</v>
      </c>
      <c r="D8" s="12" t="str">
        <f>IF(B8=0, 0, ((SUMIFS(INDEX(course_data, 0, 13), INDEX(course_data, 0, 3), "=201520", INDEX(course_data, 0, 6), "=day"))/B8))</f>
        <v>0</v>
      </c>
      <c r="E8" s="11" t="str">
        <f>SUMIFS(INDEX(course_data, 0, 10), INDEX(course_data, 0, 3), "=201520", INDEX(course_data, 0, 6), "=ex_day")</f>
        <v>0</v>
      </c>
      <c r="F8" s="12" t="str">
        <f>IF(E8=0, 0, ((SUMIFS(INDEX(course_data, 0, 11), INDEX(course_data, 0, 3), "=201520", INDEX(course_data, 0, 6), "=ex_day"))/E8))</f>
        <v>0</v>
      </c>
      <c r="G8" s="12" t="str">
        <f>IF(E8=0, 0, ((SUMIFS(INDEX(course_data, 0, 13), INDEX(course_data, 0, 3), "=201520", INDEX(course_data, 0, 6), "=ex_day"))/E8))</f>
        <v>0</v>
      </c>
      <c r="H8" s="11" t="str">
        <f>SUMIFS(INDEX(course_data, 0, 10), INDEX(course_data, 0, 3), "=201520", INDEX(course_data, 0, 6), "=online")</f>
        <v>0</v>
      </c>
      <c r="I8" s="12" t="str">
        <f>IF(H8=0, 0, ((SUMIFS(INDEX(course_data, 0, 11), INDEX(course_data, 0, 3), "=201520", INDEX(course_data, 0, 6), "=online"))/H8))</f>
        <v>0</v>
      </c>
      <c r="J8" s="12" t="str">
        <f>IF(H8=0, 0, ((SUMIFS(INDEX(course_data, 0, 13), INDEX(course_data, 0, 3), "=201520", INDEX(course_data, 0, 6), "=online"))/H8))</f>
        <v>0</v>
      </c>
    </row>
    <row r="9" spans="1:10">
      <c r="A9" s="10" t="s">
        <v>21</v>
      </c>
      <c r="B9" s="10" t="str">
        <f>SUMIFS(INDEX(course_data, 0, 10), INDEX(course_data, 0, 3), "=201530", INDEX(course_data, 0, 6), "=day")</f>
        <v>0</v>
      </c>
      <c r="C9" s="13" t="str">
        <f>IF(B9=0, 0, ((SUMIFS(INDEX(course_data, 0, 11), INDEX(course_data, 0, 3), "=201530", INDEX(course_data, 0, 6), "=day"))/B9))</f>
        <v>0</v>
      </c>
      <c r="D9" s="13" t="str">
        <f>IF(B9=0, 0, ((SUMIFS(INDEX(course_data, 0, 13), INDEX(course_data, 0, 3), "=201530", INDEX(course_data, 0, 6), "=day"))/B9))</f>
        <v>0</v>
      </c>
      <c r="E9" s="10" t="str">
        <f>SUMIFS(INDEX(course_data, 0, 10), INDEX(course_data, 0, 3), "=201530", INDEX(course_data, 0, 6), "=ex_day")</f>
        <v>0</v>
      </c>
      <c r="F9" s="13" t="str">
        <f>IF(E9=0, 0, ((SUMIFS(INDEX(course_data, 0, 11), INDEX(course_data, 0, 3), "=201530", INDEX(course_data, 0, 6), "=ex_day"))/E9))</f>
        <v>0</v>
      </c>
      <c r="G9" s="13" t="str">
        <f>IF(E9=0, 0, ((SUMIFS(INDEX(course_data, 0, 13), INDEX(course_data, 0, 3), "=201530", INDEX(course_data, 0, 6), "=ex_day"))/E9))</f>
        <v>0</v>
      </c>
      <c r="H9" s="10" t="str">
        <f>SUMIFS(INDEX(course_data, 0, 10), INDEX(course_data, 0, 3), "=201530", INDEX(course_data, 0, 6), "=online")</f>
        <v>0</v>
      </c>
      <c r="I9" s="13" t="str">
        <f>IF(H9=0, 0, ((SUMIFS(INDEX(course_data, 0, 11), INDEX(course_data, 0, 3), "=201530", INDEX(course_data, 0, 6), "=online"))/H9))</f>
        <v>0</v>
      </c>
      <c r="J9" s="13" t="str">
        <f>IF(H9=0, 0, ((SUMIFS(INDEX(course_data, 0, 13), INDEX(course_data, 0, 3), "=201530", INDEX(course_data, 0, 6), "=online"))/H9))</f>
        <v>0</v>
      </c>
    </row>
    <row r="10" spans="1:10">
      <c r="A10" s="10" t="s">
        <v>22</v>
      </c>
      <c r="B10" s="11" t="str">
        <f>SUMIFS(INDEX(course_data, 0, 10), INDEX(course_data, 0, 3), "=201610", INDEX(course_data, 0, 6), "=day")</f>
        <v>0</v>
      </c>
      <c r="C10" s="12" t="str">
        <f>IF(B10=0, 0, ((SUMIFS(INDEX(course_data, 0, 11), INDEX(course_data, 0, 3), "=201610", INDEX(course_data, 0, 6), "=day"))/B10))</f>
        <v>0</v>
      </c>
      <c r="D10" s="12" t="str">
        <f>IF(B10=0, 0, ((SUMIFS(INDEX(course_data, 0, 13), INDEX(course_data, 0, 3), "=201610", INDEX(course_data, 0, 6), "=day"))/B10))</f>
        <v>0</v>
      </c>
      <c r="E10" s="11" t="str">
        <f>SUMIFS(INDEX(course_data, 0, 10), INDEX(course_data, 0, 3), "=201610", INDEX(course_data, 0, 6), "=ex_day")</f>
        <v>0</v>
      </c>
      <c r="F10" s="12" t="str">
        <f>IF(E10=0, 0, ((SUMIFS(INDEX(course_data, 0, 11), INDEX(course_data, 0, 3), "=201610", INDEX(course_data, 0, 6), "=ex_day"))/E10))</f>
        <v>0</v>
      </c>
      <c r="G10" s="12" t="str">
        <f>IF(E10=0, 0, ((SUMIFS(INDEX(course_data, 0, 13), INDEX(course_data, 0, 3), "=201610", INDEX(course_data, 0, 6), "=ex_day"))/E10))</f>
        <v>0</v>
      </c>
      <c r="H10" s="11" t="str">
        <f>SUMIFS(INDEX(course_data, 0, 10), INDEX(course_data, 0, 3), "=201610", INDEX(course_data, 0, 6), "=online")</f>
        <v>0</v>
      </c>
      <c r="I10" s="12" t="str">
        <f>IF(H10=0, 0, ((SUMIFS(INDEX(course_data, 0, 11), INDEX(course_data, 0, 3), "=201610", INDEX(course_data, 0, 6), "=online"))/H10))</f>
        <v>0</v>
      </c>
      <c r="J10" s="12" t="str">
        <f>IF(H10=0, 0, ((SUMIFS(INDEX(course_data, 0, 13), INDEX(course_data, 0, 3), "=201610", INDEX(course_data, 0, 6), "=online"))/H10))</f>
        <v>0</v>
      </c>
    </row>
    <row r="11" spans="1:10">
      <c r="A11" s="10" t="s">
        <v>23</v>
      </c>
      <c r="B11" s="10" t="str">
        <f>SUMIFS(INDEX(course_data, 0, 10), INDEX(course_data, 0, 3), "=201615", INDEX(course_data, 0, 6), "=day")</f>
        <v>0</v>
      </c>
      <c r="C11" s="13" t="str">
        <f>IF(B11=0, 0, ((SUMIFS(INDEX(course_data, 0, 11), INDEX(course_data, 0, 3), "=201615", INDEX(course_data, 0, 6), "=day"))/B11))</f>
        <v>0</v>
      </c>
      <c r="D11" s="13" t="str">
        <f>IF(B11=0, 0, ((SUMIFS(INDEX(course_data, 0, 13), INDEX(course_data, 0, 3), "=201615", INDEX(course_data, 0, 6), "=day"))/B11))</f>
        <v>0</v>
      </c>
      <c r="E11" s="10" t="str">
        <f>SUMIFS(INDEX(course_data, 0, 10), INDEX(course_data, 0, 3), "=201615", INDEX(course_data, 0, 6), "=ex_day")</f>
        <v>0</v>
      </c>
      <c r="F11" s="13" t="str">
        <f>IF(E11=0, 0, ((SUMIFS(INDEX(course_data, 0, 11), INDEX(course_data, 0, 3), "=201615", INDEX(course_data, 0, 6), "=ex_day"))/E11))</f>
        <v>0</v>
      </c>
      <c r="G11" s="13" t="str">
        <f>IF(E11=0, 0, ((SUMIFS(INDEX(course_data, 0, 13), INDEX(course_data, 0, 3), "=201615", INDEX(course_data, 0, 6), "=ex_day"))/E11))</f>
        <v>0</v>
      </c>
      <c r="H11" s="10" t="str">
        <f>SUMIFS(INDEX(course_data, 0, 10), INDEX(course_data, 0, 3), "=201615", INDEX(course_data, 0, 6), "=online")</f>
        <v>0</v>
      </c>
      <c r="I11" s="13" t="str">
        <f>IF(H11=0, 0, ((SUMIFS(INDEX(course_data, 0, 11), INDEX(course_data, 0, 3), "=201615", INDEX(course_data, 0, 6), "=online"))/H11))</f>
        <v>0</v>
      </c>
      <c r="J11" s="13" t="str">
        <f>IF(H11=0, 0, ((SUMIFS(INDEX(course_data, 0, 13), INDEX(course_data, 0, 3), "=201615", INDEX(course_data, 0, 6), "=online"))/H11))</f>
        <v>0</v>
      </c>
    </row>
    <row r="12" spans="1:10">
      <c r="A12" s="10" t="s">
        <v>24</v>
      </c>
      <c r="B12" s="11" t="str">
        <f>SUMIFS(INDEX(course_data, 0, 10), INDEX(course_data, 0, 3), "=201620", INDEX(course_data, 0, 6), "=day")</f>
        <v>0</v>
      </c>
      <c r="C12" s="12" t="str">
        <f>IF(B12=0, 0, ((SUMIFS(INDEX(course_data, 0, 11), INDEX(course_data, 0, 3), "=201620", INDEX(course_data, 0, 6), "=day"))/B12))</f>
        <v>0</v>
      </c>
      <c r="D12" s="12" t="str">
        <f>IF(B12=0, 0, ((SUMIFS(INDEX(course_data, 0, 13), INDEX(course_data, 0, 3), "=201620", INDEX(course_data, 0, 6), "=day"))/B12))</f>
        <v>0</v>
      </c>
      <c r="E12" s="11" t="str">
        <f>SUMIFS(INDEX(course_data, 0, 10), INDEX(course_data, 0, 3), "=201620", INDEX(course_data, 0, 6), "=ex_day")</f>
        <v>0</v>
      </c>
      <c r="F12" s="12" t="str">
        <f>IF(E12=0, 0, ((SUMIFS(INDEX(course_data, 0, 11), INDEX(course_data, 0, 3), "=201620", INDEX(course_data, 0, 6), "=ex_day"))/E12))</f>
        <v>0</v>
      </c>
      <c r="G12" s="12" t="str">
        <f>IF(E12=0, 0, ((SUMIFS(INDEX(course_data, 0, 13), INDEX(course_data, 0, 3), "=201620", INDEX(course_data, 0, 6), "=ex_day"))/E12))</f>
        <v>0</v>
      </c>
      <c r="H12" s="11" t="str">
        <f>SUMIFS(INDEX(course_data, 0, 10), INDEX(course_data, 0, 3), "=201620", INDEX(course_data, 0, 6), "=online")</f>
        <v>0</v>
      </c>
      <c r="I12" s="12" t="str">
        <f>IF(H12=0, 0, ((SUMIFS(INDEX(course_data, 0, 11), INDEX(course_data, 0, 3), "=201620", INDEX(course_data, 0, 6), "=online"))/H12))</f>
        <v>0</v>
      </c>
      <c r="J12" s="12" t="str">
        <f>IF(H12=0, 0, ((SUMIFS(INDEX(course_data, 0, 13), INDEX(course_data, 0, 3), "=201620", INDEX(course_data, 0, 6), "=online"))/H12))</f>
        <v>0</v>
      </c>
    </row>
    <row r="13" spans="1:10">
      <c r="A13" s="10" t="s">
        <v>25</v>
      </c>
      <c r="B13" s="10" t="str">
        <f>SUMIFS(INDEX(course_data, 0, 10), INDEX(course_data, 0, 3), "=201630", INDEX(course_data, 0, 6), "=day")</f>
        <v>0</v>
      </c>
      <c r="C13" s="13" t="str">
        <f>IF(B13=0, 0, ((SUMIFS(INDEX(course_data, 0, 11), INDEX(course_data, 0, 3), "=201630", INDEX(course_data, 0, 6), "=day"))/B13))</f>
        <v>0</v>
      </c>
      <c r="D13" s="13" t="str">
        <f>IF(B13=0, 0, ((SUMIFS(INDEX(course_data, 0, 13), INDEX(course_data, 0, 3), "=201630", INDEX(course_data, 0, 6), "=day"))/B13))</f>
        <v>0</v>
      </c>
      <c r="E13" s="10" t="str">
        <f>SUMIFS(INDEX(course_data, 0, 10), INDEX(course_data, 0, 3), "=201630", INDEX(course_data, 0, 6), "=ex_day")</f>
        <v>0</v>
      </c>
      <c r="F13" s="13" t="str">
        <f>IF(E13=0, 0, ((SUMIFS(INDEX(course_data, 0, 11), INDEX(course_data, 0, 3), "=201630", INDEX(course_data, 0, 6), "=ex_day"))/E13))</f>
        <v>0</v>
      </c>
      <c r="G13" s="13" t="str">
        <f>IF(E13=0, 0, ((SUMIFS(INDEX(course_data, 0, 13), INDEX(course_data, 0, 3), "=201630", INDEX(course_data, 0, 6), "=ex_day"))/E13))</f>
        <v>0</v>
      </c>
      <c r="H13" s="10" t="str">
        <f>SUMIFS(INDEX(course_data, 0, 10), INDEX(course_data, 0, 3), "=201630", INDEX(course_data, 0, 6), "=online")</f>
        <v>0</v>
      </c>
      <c r="I13" s="13" t="str">
        <f>IF(H13=0, 0, ((SUMIFS(INDEX(course_data, 0, 11), INDEX(course_data, 0, 3), "=201630", INDEX(course_data, 0, 6), "=online"))/H13))</f>
        <v>0</v>
      </c>
      <c r="J13" s="13" t="str">
        <f>IF(H13=0, 0, ((SUMIFS(INDEX(course_data, 0, 13), INDEX(course_data, 0, 3), "=201630", INDEX(course_data, 0, 6), "=online"))/H13))</f>
        <v>0</v>
      </c>
    </row>
    <row r="14" spans="1:10">
      <c r="A14" s="10" t="s">
        <v>26</v>
      </c>
      <c r="B14" s="11" t="str">
        <f>SUMIFS(INDEX(course_data, 0, 10), INDEX(course_data, 0, 3), "=201710", INDEX(course_data, 0, 6), "=day")</f>
        <v>0</v>
      </c>
      <c r="C14" s="12" t="str">
        <f>IF(B14=0, 0, ((SUMIFS(INDEX(course_data, 0, 11), INDEX(course_data, 0, 3), "=201710", INDEX(course_data, 0, 6), "=day"))/B14))</f>
        <v>0</v>
      </c>
      <c r="D14" s="12" t="str">
        <f>IF(B14=0, 0, ((SUMIFS(INDEX(course_data, 0, 13), INDEX(course_data, 0, 3), "=201710", INDEX(course_data, 0, 6), "=day"))/B14))</f>
        <v>0</v>
      </c>
      <c r="E14" s="11" t="str">
        <f>SUMIFS(INDEX(course_data, 0, 10), INDEX(course_data, 0, 3), "=201710", INDEX(course_data, 0, 6), "=ex_day")</f>
        <v>0</v>
      </c>
      <c r="F14" s="12" t="str">
        <f>IF(E14=0, 0, ((SUMIFS(INDEX(course_data, 0, 11), INDEX(course_data, 0, 3), "=201710", INDEX(course_data, 0, 6), "=ex_day"))/E14))</f>
        <v>0</v>
      </c>
      <c r="G14" s="12" t="str">
        <f>IF(E14=0, 0, ((SUMIFS(INDEX(course_data, 0, 13), INDEX(course_data, 0, 3), "=201710", INDEX(course_data, 0, 6), "=ex_day"))/E14))</f>
        <v>0</v>
      </c>
      <c r="H14" s="11" t="str">
        <f>SUMIFS(INDEX(course_data, 0, 10), INDEX(course_data, 0, 3), "=201710", INDEX(course_data, 0, 6), "=online")</f>
        <v>0</v>
      </c>
      <c r="I14" s="12" t="str">
        <f>IF(H14=0, 0, ((SUMIFS(INDEX(course_data, 0, 11), INDEX(course_data, 0, 3), "=201710", INDEX(course_data, 0, 6), "=online"))/H14))</f>
        <v>0</v>
      </c>
      <c r="J14" s="12" t="str">
        <f>IF(H14=0, 0, ((SUMIFS(INDEX(course_data, 0, 13), INDEX(course_data, 0, 3), "=201710", INDEX(course_data, 0, 6), "=online"))/H14))</f>
        <v>0</v>
      </c>
    </row>
    <row r="15" spans="1:10">
      <c r="A15" s="10" t="s">
        <v>27</v>
      </c>
      <c r="B15" s="10" t="str">
        <f>SUMIFS(INDEX(course_data, 0, 10), INDEX(course_data, 0, 3), "=201715", INDEX(course_data, 0, 6), "=day")</f>
        <v>0</v>
      </c>
      <c r="C15" s="13" t="str">
        <f>IF(B15=0, 0, ((SUMIFS(INDEX(course_data, 0, 11), INDEX(course_data, 0, 3), "=201715", INDEX(course_data, 0, 6), "=day"))/B15))</f>
        <v>0</v>
      </c>
      <c r="D15" s="13" t="str">
        <f>IF(B15=0, 0, ((SUMIFS(INDEX(course_data, 0, 13), INDEX(course_data, 0, 3), "=201715", INDEX(course_data, 0, 6), "=day"))/B15))</f>
        <v>0</v>
      </c>
      <c r="E15" s="10" t="str">
        <f>SUMIFS(INDEX(course_data, 0, 10), INDEX(course_data, 0, 3), "=201715", INDEX(course_data, 0, 6), "=ex_day")</f>
        <v>0</v>
      </c>
      <c r="F15" s="13" t="str">
        <f>IF(E15=0, 0, ((SUMIFS(INDEX(course_data, 0, 11), INDEX(course_data, 0, 3), "=201715", INDEX(course_data, 0, 6), "=ex_day"))/E15))</f>
        <v>0</v>
      </c>
      <c r="G15" s="13" t="str">
        <f>IF(E15=0, 0, ((SUMIFS(INDEX(course_data, 0, 13), INDEX(course_data, 0, 3), "=201715", INDEX(course_data, 0, 6), "=ex_day"))/E15))</f>
        <v>0</v>
      </c>
      <c r="H15" s="10" t="str">
        <f>SUMIFS(INDEX(course_data, 0, 10), INDEX(course_data, 0, 3), "=201715", INDEX(course_data, 0, 6), "=online")</f>
        <v>0</v>
      </c>
      <c r="I15" s="13" t="str">
        <f>IF(H15=0, 0, ((SUMIFS(INDEX(course_data, 0, 11), INDEX(course_data, 0, 3), "=201715", INDEX(course_data, 0, 6), "=online"))/H15))</f>
        <v>0</v>
      </c>
      <c r="J15" s="13" t="str">
        <f>IF(H15=0, 0, ((SUMIFS(INDEX(course_data, 0, 13), INDEX(course_data, 0, 3), "=201715", INDEX(course_data, 0, 6), "=online"))/H15))</f>
        <v>0</v>
      </c>
    </row>
    <row r="16" spans="1:10">
      <c r="A16" s="10" t="s">
        <v>28</v>
      </c>
      <c r="B16" s="11" t="str">
        <f>SUMIFS(INDEX(course_data, 0, 10), INDEX(course_data, 0, 3), "=201720", INDEX(course_data, 0, 6), "=day")</f>
        <v>0</v>
      </c>
      <c r="C16" s="12" t="str">
        <f>IF(B16=0, 0, ((SUMIFS(INDEX(course_data, 0, 11), INDEX(course_data, 0, 3), "=201720", INDEX(course_data, 0, 6), "=day"))/B16))</f>
        <v>0</v>
      </c>
      <c r="D16" s="12" t="str">
        <f>IF(B16=0, 0, ((SUMIFS(INDEX(course_data, 0, 13), INDEX(course_data, 0, 3), "=201720", INDEX(course_data, 0, 6), "=day"))/B16))</f>
        <v>0</v>
      </c>
      <c r="E16" s="11" t="str">
        <f>SUMIFS(INDEX(course_data, 0, 10), INDEX(course_data, 0, 3), "=201720", INDEX(course_data, 0, 6), "=ex_day")</f>
        <v>0</v>
      </c>
      <c r="F16" s="12" t="str">
        <f>IF(E16=0, 0, ((SUMIFS(INDEX(course_data, 0, 11), INDEX(course_data, 0, 3), "=201720", INDEX(course_data, 0, 6), "=ex_day"))/E16))</f>
        <v>0</v>
      </c>
      <c r="G16" s="12" t="str">
        <f>IF(E16=0, 0, ((SUMIFS(INDEX(course_data, 0, 13), INDEX(course_data, 0, 3), "=201720", INDEX(course_data, 0, 6), "=ex_day"))/E16))</f>
        <v>0</v>
      </c>
      <c r="H16" s="11" t="str">
        <f>SUMIFS(INDEX(course_data, 0, 10), INDEX(course_data, 0, 3), "=201720", INDEX(course_data, 0, 6), "=online")</f>
        <v>0</v>
      </c>
      <c r="I16" s="12" t="str">
        <f>IF(H16=0, 0, ((SUMIFS(INDEX(course_data, 0, 11), INDEX(course_data, 0, 3), "=201720", INDEX(course_data, 0, 6), "=online"))/H16))</f>
        <v>0</v>
      </c>
      <c r="J16" s="12" t="str">
        <f>IF(H16=0, 0, ((SUMIFS(INDEX(course_data, 0, 13), INDEX(course_data, 0, 3), "=201720", INDEX(course_data, 0, 6), "=online"))/H16))</f>
        <v>0</v>
      </c>
    </row>
    <row r="17" spans="1:10">
      <c r="A17" s="10" t="s">
        <v>29</v>
      </c>
      <c r="B17" s="10" t="str">
        <f>SUMIFS(INDEX(course_data, 0, 10), INDEX(course_data, 0, 3), "=201730", INDEX(course_data, 0, 6), "=day")</f>
        <v>0</v>
      </c>
      <c r="C17" s="13" t="str">
        <f>IF(B17=0, 0, ((SUMIFS(INDEX(course_data, 0, 11), INDEX(course_data, 0, 3), "=201730", INDEX(course_data, 0, 6), "=day"))/B17))</f>
        <v>0</v>
      </c>
      <c r="D17" s="13" t="str">
        <f>IF(B17=0, 0, ((SUMIFS(INDEX(course_data, 0, 13), INDEX(course_data, 0, 3), "=201730", INDEX(course_data, 0, 6), "=day"))/B17))</f>
        <v>0</v>
      </c>
      <c r="E17" s="10" t="str">
        <f>SUMIFS(INDEX(course_data, 0, 10), INDEX(course_data, 0, 3), "=201730", INDEX(course_data, 0, 6), "=ex_day")</f>
        <v>0</v>
      </c>
      <c r="F17" s="13" t="str">
        <f>IF(E17=0, 0, ((SUMIFS(INDEX(course_data, 0, 11), INDEX(course_data, 0, 3), "=201730", INDEX(course_data, 0, 6), "=ex_day"))/E17))</f>
        <v>0</v>
      </c>
      <c r="G17" s="13" t="str">
        <f>IF(E17=0, 0, ((SUMIFS(INDEX(course_data, 0, 13), INDEX(course_data, 0, 3), "=201730", INDEX(course_data, 0, 6), "=ex_day"))/E17))</f>
        <v>0</v>
      </c>
      <c r="H17" s="10" t="str">
        <f>SUMIFS(INDEX(course_data, 0, 10), INDEX(course_data, 0, 3), "=201730", INDEX(course_data, 0, 6), "=online")</f>
        <v>0</v>
      </c>
      <c r="I17" s="13" t="str">
        <f>IF(H17=0, 0, ((SUMIFS(INDEX(course_data, 0, 11), INDEX(course_data, 0, 3), "=201730", INDEX(course_data, 0, 6), "=online"))/H17))</f>
        <v>0</v>
      </c>
      <c r="J17" s="13" t="str">
        <f>IF(H17=0, 0, ((SUMIFS(INDEX(course_data, 0, 13), INDEX(course_data, 0, 3), "=201730", INDEX(course_data, 0, 6), "=online"))/H17))</f>
        <v>0</v>
      </c>
    </row>
    <row r="18" spans="1:10">
      <c r="A18" s="14" t="s">
        <v>30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</row>
    <row r="20" spans="1:10">
      <c r="B20" s="9" t="s">
        <v>10</v>
      </c>
      <c r="C20" s="9"/>
      <c r="D20" s="9"/>
      <c r="E20" s="9" t="s">
        <v>11</v>
      </c>
      <c r="F20" s="9"/>
      <c r="G20" s="9"/>
      <c r="H20" s="9" t="s">
        <v>12</v>
      </c>
      <c r="I20" s="9"/>
      <c r="J20" s="9"/>
    </row>
    <row r="21" spans="1:10">
      <c r="A21" s="9" t="s">
        <v>31</v>
      </c>
      <c r="B21" s="9" t="s">
        <v>70</v>
      </c>
      <c r="C21" s="9" t="s">
        <v>71</v>
      </c>
      <c r="D21" s="9" t="s">
        <v>72</v>
      </c>
      <c r="E21" s="9" t="s">
        <v>70</v>
      </c>
      <c r="F21" s="9" t="s">
        <v>71</v>
      </c>
      <c r="G21" s="9" t="s">
        <v>72</v>
      </c>
      <c r="H21" s="9" t="s">
        <v>70</v>
      </c>
      <c r="I21" s="9" t="s">
        <v>71</v>
      </c>
      <c r="J21" s="9" t="s">
        <v>72</v>
      </c>
    </row>
    <row r="22" spans="1:10">
      <c r="A22" s="10" t="s">
        <v>57</v>
      </c>
      <c r="B22" s="11" t="str">
        <f>SUMIFS(INDEX(course_data, 0, 10), INDEX(course_data, 0, 1), "=2014-2015", INDEX(course_data, 0, 6), "=day")</f>
        <v>0</v>
      </c>
      <c r="C22" s="12" t="str">
        <f>IF(B22=0, 0, ((SUMIFS(INDEX(course_data, 0, 11), INDEX(course_data, 0, 1), "=2014-2015", INDEX(course_data, 0, 6), "=day"))/B22))</f>
        <v>0</v>
      </c>
      <c r="D22" s="12" t="str">
        <f>IF(B22=0, 0, ((SUMIFS(INDEX(course_data, 0, 13), INDEX(course_data, 0, 1), "=2014-2015", INDEX(course_data, 0, 6), "=day"))/B22))</f>
        <v>0</v>
      </c>
      <c r="E22" s="11" t="str">
        <f>SUMIFS(INDEX(course_data, 0, 10), INDEX(course_data, 0, 1), "=2014-2015", INDEX(course_data, 0, 6), "=ex_day")</f>
        <v>0</v>
      </c>
      <c r="F22" s="12" t="str">
        <f>IF(E22=0, 0, ((SUMIFS(INDEX(course_data, 0, 11), INDEX(course_data, 0, 1), "=2014-2015", INDEX(course_data, 0, 6), "=ex_day"))/E22))</f>
        <v>0</v>
      </c>
      <c r="G22" s="12" t="str">
        <f>IF(E22=0, 0, ((SUMIFS(INDEX(course_data, 0, 13), INDEX(course_data, 0, 1), "=2014-2015", INDEX(course_data, 0, 6), "=ex_day"))/E22))</f>
        <v>0</v>
      </c>
      <c r="H22" s="11" t="str">
        <f>SUMIFS(INDEX(course_data, 0, 10), INDEX(course_data, 0, 1), "=2014-2015", INDEX(course_data, 0, 6), "=online")</f>
        <v>0</v>
      </c>
      <c r="I22" s="12" t="str">
        <f>IF(H22=0, 0, ((SUMIFS(INDEX(course_data, 0, 11), INDEX(course_data, 0, 1), "=2014-2015", INDEX(course_data, 0, 6), "=online"))/H22))</f>
        <v>0</v>
      </c>
      <c r="J22" s="12" t="str">
        <f>IF(H22=0, 0, ((SUMIFS(INDEX(course_data, 0, 13), INDEX(course_data, 0, 1), "=2014-2015", INDEX(course_data, 0, 6), "=online"))/H22))</f>
        <v>0</v>
      </c>
    </row>
    <row r="23" spans="1:10">
      <c r="A23" s="10" t="s">
        <v>58</v>
      </c>
      <c r="B23" s="10" t="str">
        <f>SUMIFS(INDEX(course_data, 0, 10), INDEX(course_data, 0, 1), "=2015-2016", INDEX(course_data, 0, 6), "=day")</f>
        <v>0</v>
      </c>
      <c r="C23" s="13" t="str">
        <f>IF(B23=0, 0, ((SUMIFS(INDEX(course_data, 0, 11), INDEX(course_data, 0, 1), "=2015-2016", INDEX(course_data, 0, 6), "=day"))/B23))</f>
        <v>0</v>
      </c>
      <c r="D23" s="13" t="str">
        <f>IF(B23=0, 0, ((SUMIFS(INDEX(course_data, 0, 13), INDEX(course_data, 0, 1), "=2015-2016", INDEX(course_data, 0, 6), "=day"))/B23))</f>
        <v>0</v>
      </c>
      <c r="E23" s="10" t="str">
        <f>SUMIFS(INDEX(course_data, 0, 10), INDEX(course_data, 0, 1), "=2015-2016", INDEX(course_data, 0, 6), "=ex_day")</f>
        <v>0</v>
      </c>
      <c r="F23" s="13" t="str">
        <f>IF(E23=0, 0, ((SUMIFS(INDEX(course_data, 0, 11), INDEX(course_data, 0, 1), "=2015-2016", INDEX(course_data, 0, 6), "=ex_day"))/E23))</f>
        <v>0</v>
      </c>
      <c r="G23" s="13" t="str">
        <f>IF(E23=0, 0, ((SUMIFS(INDEX(course_data, 0, 13), INDEX(course_data, 0, 1), "=2015-2016", INDEX(course_data, 0, 6), "=ex_day"))/E23))</f>
        <v>0</v>
      </c>
      <c r="H23" s="10" t="str">
        <f>SUMIFS(INDEX(course_data, 0, 10), INDEX(course_data, 0, 1), "=2015-2016", INDEX(course_data, 0, 6), "=online")</f>
        <v>0</v>
      </c>
      <c r="I23" s="13" t="str">
        <f>IF(H23=0, 0, ((SUMIFS(INDEX(course_data, 0, 11), INDEX(course_data, 0, 1), "=2015-2016", INDEX(course_data, 0, 6), "=online"))/H23))</f>
        <v>0</v>
      </c>
      <c r="J23" s="13" t="str">
        <f>IF(H23=0, 0, ((SUMIFS(INDEX(course_data, 0, 13), INDEX(course_data, 0, 1), "=2015-2016", INDEX(course_data, 0, 6), "=online"))/H23))</f>
        <v>0</v>
      </c>
    </row>
    <row r="24" spans="1:10">
      <c r="A24" s="10" t="s">
        <v>59</v>
      </c>
      <c r="B24" s="11" t="str">
        <f>SUMIFS(INDEX(course_data, 0, 10), INDEX(course_data, 0, 1), "=2016-2017", INDEX(course_data, 0, 6), "=day")</f>
        <v>0</v>
      </c>
      <c r="C24" s="12" t="str">
        <f>IF(B24=0, 0, ((SUMIFS(INDEX(course_data, 0, 11), INDEX(course_data, 0, 1), "=2016-2017", INDEX(course_data, 0, 6), "=day"))/B24))</f>
        <v>0</v>
      </c>
      <c r="D24" s="12" t="str">
        <f>IF(B24=0, 0, ((SUMIFS(INDEX(course_data, 0, 13), INDEX(course_data, 0, 1), "=2016-2017", INDEX(course_data, 0, 6), "=day"))/B24))</f>
        <v>0</v>
      </c>
      <c r="E24" s="11" t="str">
        <f>SUMIFS(INDEX(course_data, 0, 10), INDEX(course_data, 0, 1), "=2016-2017", INDEX(course_data, 0, 6), "=ex_day")</f>
        <v>0</v>
      </c>
      <c r="F24" s="12" t="str">
        <f>IF(E24=0, 0, ((SUMIFS(INDEX(course_data, 0, 11), INDEX(course_data, 0, 1), "=2016-2017", INDEX(course_data, 0, 6), "=ex_day"))/E24))</f>
        <v>0</v>
      </c>
      <c r="G24" s="12" t="str">
        <f>IF(E24=0, 0, ((SUMIFS(INDEX(course_data, 0, 13), INDEX(course_data, 0, 1), "=2016-2017", INDEX(course_data, 0, 6), "=ex_day"))/E24))</f>
        <v>0</v>
      </c>
      <c r="H24" s="11" t="str">
        <f>SUMIFS(INDEX(course_data, 0, 10), INDEX(course_data, 0, 1), "=2016-2017", INDEX(course_data, 0, 6), "=online")</f>
        <v>0</v>
      </c>
      <c r="I24" s="12" t="str">
        <f>IF(H24=0, 0, ((SUMIFS(INDEX(course_data, 0, 11), INDEX(course_data, 0, 1), "=2016-2017", INDEX(course_data, 0, 6), "=online"))/H24))</f>
        <v>0</v>
      </c>
      <c r="J24" s="12" t="str">
        <f>IF(H24=0, 0, ((SUMIFS(INDEX(course_data, 0, 13), INDEX(course_data, 0, 1), "=2016-2017", INDEX(course_data, 0, 6), "=online"))/H24))</f>
        <v>0</v>
      </c>
    </row>
    <row r="25" spans="1:10">
      <c r="A25" s="14" t="s">
        <v>30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38</v>
      </c>
      <c r="B31" s="18"/>
      <c r="C31" t="s">
        <v>39</v>
      </c>
      <c r="D31"/>
      <c r="E31"/>
      <c r="F31"/>
      <c r="G31"/>
      <c r="H31"/>
      <c r="I31"/>
      <c r="J31"/>
    </row>
    <row r="32" spans="1:10">
      <c r="A32" s="17" t="s">
        <v>40</v>
      </c>
      <c r="B32" s="18"/>
      <c r="C32" t="s">
        <v>41</v>
      </c>
      <c r="D32"/>
      <c r="E32"/>
      <c r="F32"/>
      <c r="G32"/>
      <c r="H32"/>
      <c r="I32"/>
      <c r="J32"/>
    </row>
    <row r="33" spans="1:10">
      <c r="A33" s="17" t="s">
        <v>42</v>
      </c>
      <c r="B33" s="18"/>
      <c r="C33" t="s">
        <v>43</v>
      </c>
      <c r="D33"/>
      <c r="E33"/>
      <c r="F33"/>
      <c r="G33"/>
      <c r="H33"/>
      <c r="I33"/>
      <c r="J33"/>
    </row>
    <row r="34" spans="1:10">
      <c r="A34" s="17" t="s">
        <v>48</v>
      </c>
      <c r="B34" s="18"/>
      <c r="C34" t="s">
        <v>49</v>
      </c>
      <c r="D34"/>
      <c r="E34"/>
      <c r="F34"/>
      <c r="G34"/>
      <c r="H34"/>
      <c r="I34"/>
      <c r="J34"/>
    </row>
    <row r="35" spans="1:10">
      <c r="A35" s="17" t="s">
        <v>73</v>
      </c>
      <c r="B35" s="18"/>
      <c r="C35" t="s">
        <v>74</v>
      </c>
      <c r="D35"/>
      <c r="E35"/>
      <c r="F35"/>
      <c r="G35"/>
      <c r="H35"/>
      <c r="I35"/>
      <c r="J35"/>
    </row>
    <row r="36" spans="1:10">
      <c r="A36" s="17" t="s">
        <v>75</v>
      </c>
      <c r="B36" s="18"/>
      <c r="C36" t="s">
        <v>76</v>
      </c>
      <c r="D36"/>
      <c r="E36"/>
      <c r="F36"/>
      <c r="G36"/>
      <c r="H36"/>
      <c r="I36"/>
      <c r="J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  <mergeCell ref="A34:B34"/>
    <mergeCell ref="C34:J34"/>
    <mergeCell ref="A35:B35"/>
    <mergeCell ref="C35:J35"/>
    <mergeCell ref="A36:B36"/>
    <mergeCell ref="C36:J36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77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78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79</v>
      </c>
      <c r="C4" s="9"/>
      <c r="D4" s="9"/>
      <c r="E4" s="9" t="s">
        <v>80</v>
      </c>
      <c r="F4" s="9"/>
      <c r="G4" s="9"/>
      <c r="H4" s="9" t="s">
        <v>81</v>
      </c>
      <c r="I4" s="9"/>
      <c r="J4" s="9"/>
      <c r="K4" s="9" t="s">
        <v>82</v>
      </c>
      <c r="L4" s="9"/>
      <c r="M4" s="9"/>
      <c r="N4" s="9" t="s">
        <v>83</v>
      </c>
      <c r="O4" s="9"/>
      <c r="P4" s="9"/>
    </row>
    <row r="5" spans="1:16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  <c r="K5" s="9" t="s">
        <v>84</v>
      </c>
      <c r="L5" s="9" t="s">
        <v>85</v>
      </c>
      <c r="M5" s="9" t="s">
        <v>86</v>
      </c>
      <c r="N5" s="9" t="s">
        <v>84</v>
      </c>
      <c r="O5" s="9" t="s">
        <v>85</v>
      </c>
      <c r="P5" s="9" t="s">
        <v>86</v>
      </c>
    </row>
    <row r="6" spans="1:16">
      <c r="A6" s="10" t="s">
        <v>18</v>
      </c>
      <c r="B6" s="11">
        <v>0</v>
      </c>
      <c r="C6" s="12">
        <v>0</v>
      </c>
      <c r="D6" s="12">
        <v>0</v>
      </c>
      <c r="E6" s="11">
        <v>12</v>
      </c>
      <c r="F6" s="12">
        <v>0.9166667</v>
      </c>
      <c r="G6" s="12">
        <v>1</v>
      </c>
      <c r="H6" s="11">
        <v>0</v>
      </c>
      <c r="I6" s="12">
        <v>0</v>
      </c>
      <c r="J6" s="12">
        <v>0</v>
      </c>
      <c r="K6" s="11">
        <v>0</v>
      </c>
      <c r="L6" s="12">
        <v>0</v>
      </c>
      <c r="M6" s="12">
        <v>0</v>
      </c>
      <c r="N6" s="11">
        <v>12</v>
      </c>
      <c r="O6" s="12">
        <v>0.9166667</v>
      </c>
      <c r="P6" s="12">
        <v>0.9166667</v>
      </c>
    </row>
    <row r="7" spans="1:16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</row>
    <row r="8" spans="1:16">
      <c r="A8" s="10" t="s">
        <v>20</v>
      </c>
      <c r="B8" s="11">
        <v>0</v>
      </c>
      <c r="C8" s="12">
        <v>0</v>
      </c>
      <c r="D8" s="12">
        <v>0</v>
      </c>
      <c r="E8" s="11">
        <v>12</v>
      </c>
      <c r="F8" s="12">
        <v>0.75</v>
      </c>
      <c r="G8" s="12">
        <v>0.75</v>
      </c>
      <c r="H8" s="11">
        <v>0</v>
      </c>
      <c r="I8" s="12">
        <v>0</v>
      </c>
      <c r="J8" s="12">
        <v>0</v>
      </c>
      <c r="K8" s="11">
        <v>0</v>
      </c>
      <c r="L8" s="12">
        <v>0</v>
      </c>
      <c r="M8" s="12">
        <v>0</v>
      </c>
      <c r="N8" s="11">
        <v>9</v>
      </c>
      <c r="O8" s="12">
        <v>1</v>
      </c>
      <c r="P8" s="12">
        <v>1</v>
      </c>
    </row>
    <row r="9" spans="1:16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0</v>
      </c>
      <c r="O9" s="13">
        <v>0</v>
      </c>
      <c r="P9" s="13">
        <v>0</v>
      </c>
    </row>
    <row r="10" spans="1:16">
      <c r="A10" s="10" t="s">
        <v>22</v>
      </c>
      <c r="B10" s="11">
        <v>0</v>
      </c>
      <c r="C10" s="12">
        <v>0</v>
      </c>
      <c r="D10" s="12">
        <v>0</v>
      </c>
      <c r="E10" s="11">
        <v>9</v>
      </c>
      <c r="F10" s="12">
        <v>0.6666667</v>
      </c>
      <c r="G10" s="12">
        <v>0.7777778</v>
      </c>
      <c r="H10" s="11">
        <v>0</v>
      </c>
      <c r="I10" s="12">
        <v>0</v>
      </c>
      <c r="J10" s="12">
        <v>0</v>
      </c>
      <c r="K10" s="11">
        <v>0</v>
      </c>
      <c r="L10" s="12">
        <v>0</v>
      </c>
      <c r="M10" s="12">
        <v>0</v>
      </c>
      <c r="N10" s="11">
        <v>18</v>
      </c>
      <c r="O10" s="12">
        <v>0.7777778</v>
      </c>
      <c r="P10" s="12">
        <v>1</v>
      </c>
    </row>
    <row r="11" spans="1:16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0</v>
      </c>
      <c r="O11" s="13">
        <v>0</v>
      </c>
      <c r="P11" s="13">
        <v>0</v>
      </c>
    </row>
    <row r="12" spans="1:16">
      <c r="A12" s="10" t="s">
        <v>24</v>
      </c>
      <c r="B12" s="11">
        <v>0</v>
      </c>
      <c r="C12" s="12">
        <v>0</v>
      </c>
      <c r="D12" s="12">
        <v>0</v>
      </c>
      <c r="E12" s="11">
        <v>11</v>
      </c>
      <c r="F12" s="12">
        <v>0.7272727</v>
      </c>
      <c r="G12" s="12">
        <v>0.9090909</v>
      </c>
      <c r="H12" s="11">
        <v>0</v>
      </c>
      <c r="I12" s="12">
        <v>0</v>
      </c>
      <c r="J12" s="12">
        <v>0</v>
      </c>
      <c r="K12" s="11">
        <v>0</v>
      </c>
      <c r="L12" s="12">
        <v>0</v>
      </c>
      <c r="M12" s="12">
        <v>0</v>
      </c>
      <c r="N12" s="11">
        <v>16</v>
      </c>
      <c r="O12" s="12">
        <v>0.5</v>
      </c>
      <c r="P12" s="12">
        <v>0.75</v>
      </c>
    </row>
    <row r="13" spans="1:16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</row>
    <row r="14" spans="1:16">
      <c r="A14" s="10" t="s">
        <v>26</v>
      </c>
      <c r="B14" s="11">
        <v>0</v>
      </c>
      <c r="C14" s="12">
        <v>0</v>
      </c>
      <c r="D14" s="12">
        <v>0</v>
      </c>
      <c r="E14" s="11">
        <v>6</v>
      </c>
      <c r="F14" s="12">
        <v>0.6666667</v>
      </c>
      <c r="G14" s="12">
        <v>1</v>
      </c>
      <c r="H14" s="11">
        <v>0</v>
      </c>
      <c r="I14" s="12">
        <v>0</v>
      </c>
      <c r="J14" s="12">
        <v>0</v>
      </c>
      <c r="K14" s="11">
        <v>0</v>
      </c>
      <c r="L14" s="12">
        <v>0</v>
      </c>
      <c r="M14" s="12">
        <v>0</v>
      </c>
      <c r="N14" s="11">
        <v>16</v>
      </c>
      <c r="O14" s="12">
        <v>0.6875</v>
      </c>
      <c r="P14" s="12">
        <v>0.9375</v>
      </c>
    </row>
    <row r="15" spans="1:16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</row>
    <row r="16" spans="1:16">
      <c r="A16" s="10" t="s">
        <v>28</v>
      </c>
      <c r="B16" s="11">
        <v>0</v>
      </c>
      <c r="C16" s="12">
        <v>0</v>
      </c>
      <c r="D16" s="12">
        <v>0</v>
      </c>
      <c r="E16" s="11">
        <v>8</v>
      </c>
      <c r="F16" s="12">
        <v>1</v>
      </c>
      <c r="G16" s="12">
        <v>1</v>
      </c>
      <c r="H16" s="11">
        <v>0</v>
      </c>
      <c r="I16" s="12">
        <v>0</v>
      </c>
      <c r="J16" s="12">
        <v>0</v>
      </c>
      <c r="K16" s="11">
        <v>0</v>
      </c>
      <c r="L16" s="12">
        <v>0</v>
      </c>
      <c r="M16" s="12">
        <v>0</v>
      </c>
      <c r="N16" s="11">
        <v>15</v>
      </c>
      <c r="O16" s="12">
        <v>0.7333333</v>
      </c>
      <c r="P16" s="12">
        <v>0.9333333</v>
      </c>
    </row>
    <row r="17" spans="1:16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</row>
    <row r="18" spans="1:16">
      <c r="A18" s="14" t="s">
        <v>87</v>
      </c>
      <c r="B18" s="15" t="str">
        <f>SUM(B6:B17)</f>
        <v>0</v>
      </c>
      <c r="C18" s="16" t="str">
        <f>IF(B18=0, 0, ((B6*C6)+(B7*C7)+(B8*C8)+(B9*C9)+(B10*C10)+(B11*C11)+(B12*C12)+(B13*C13)+(B14*C14)+(B15*C15)+(B16*C16)+(B17*C17))/B18)</f>
        <v>0</v>
      </c>
      <c r="D18" s="16" t="str">
        <f>IF(B18=0, 0,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0, ((E6*F6)+(E7*F7)+(E8*F8)+(E9*F9)+(E10*F10)+(E11*F11)+(E12*F12)+(E13*F13)+(E14*F14)+(E15*F15)+(E16*F16)+(E17*F17))/E18)</f>
        <v>0</v>
      </c>
      <c r="G18" s="16" t="str">
        <f>IF(E18=0, 0,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0, ((H6*I6)+(H7*I7)+(H8*I8)+(H9*I9)+(H10*I10)+(H11*I11)+(H12*I12)+(H13*I13)+(H14*I14)+(H15*I15)+(H16*I16)+(H17*I17))/H18)</f>
        <v>0</v>
      </c>
      <c r="J18" s="16" t="str">
        <f>IF(H18=0, 0,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0, ((K6*L6)+(K7*L7)+(K8*L8)+(K9*L9)+(K10*L10)+(K11*L11)+(K12*L12)+(K13*L13)+(K14*L14)+(K15*L15)+(K16*L16)+(K17*L17))/K18)</f>
        <v>0</v>
      </c>
      <c r="M18" s="16" t="str">
        <f>IF(K18=0, 0,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0, ((N6*O6)+(N7*O7)+(N8*O8)+(N9*O9)+(N10*O10)+(N11*O11)+(N12*O12)+(N13*O13)+(N14*O14)+(N15*O15)+(N16*O16)+(N17*O17))/N18)</f>
        <v>0</v>
      </c>
      <c r="P18" s="16" t="str">
        <f>IF(N18=0, 0, ((N6*P6)+(N7*P7)+(N8*P8)+(N9*P9)+(N10*P10)+(N11*P11)+(N12*P12)+(N13*P13)+(N14*P14)+(N15*P15)+(N16*P16)+(N17*P17))/N18)</f>
        <v>0</v>
      </c>
    </row>
    <row r="20" spans="1:16">
      <c r="B20" s="9" t="s">
        <v>79</v>
      </c>
      <c r="C20" s="9"/>
      <c r="D20" s="9"/>
      <c r="E20" s="9" t="s">
        <v>80</v>
      </c>
      <c r="F20" s="9"/>
      <c r="G20" s="9"/>
      <c r="H20" s="9" t="s">
        <v>81</v>
      </c>
      <c r="I20" s="9"/>
      <c r="J20" s="9"/>
      <c r="K20" s="9" t="s">
        <v>82</v>
      </c>
      <c r="L20" s="9"/>
      <c r="M20" s="9"/>
      <c r="N20" s="9" t="s">
        <v>83</v>
      </c>
      <c r="O20" s="9"/>
      <c r="P20" s="9"/>
    </row>
    <row r="21" spans="1:16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  <c r="K21" s="9" t="s">
        <v>84</v>
      </c>
      <c r="L21" s="9" t="s">
        <v>85</v>
      </c>
      <c r="M21" s="9" t="s">
        <v>86</v>
      </c>
      <c r="N21" s="9" t="s">
        <v>84</v>
      </c>
      <c r="O21" s="9" t="s">
        <v>85</v>
      </c>
      <c r="P21" s="9" t="s">
        <v>86</v>
      </c>
    </row>
    <row r="22" spans="1:16">
      <c r="A22" s="10" t="s">
        <v>57</v>
      </c>
      <c r="B22" s="11">
        <v>0</v>
      </c>
      <c r="C22" s="12">
        <v>0</v>
      </c>
      <c r="D22" s="12">
        <v>0</v>
      </c>
      <c r="E22" s="11">
        <v>24</v>
      </c>
      <c r="F22" s="12">
        <v>0.8333333</v>
      </c>
      <c r="G22" s="12">
        <v>0.875</v>
      </c>
      <c r="H22" s="11">
        <v>0</v>
      </c>
      <c r="I22" s="12">
        <v>0</v>
      </c>
      <c r="J22" s="12">
        <v>0</v>
      </c>
      <c r="K22" s="11">
        <v>0</v>
      </c>
      <c r="L22" s="12">
        <v>0</v>
      </c>
      <c r="M22" s="12">
        <v>0</v>
      </c>
      <c r="N22" s="11">
        <v>21</v>
      </c>
      <c r="O22" s="12">
        <v>0.952381</v>
      </c>
      <c r="P22" s="12">
        <v>0.952381</v>
      </c>
    </row>
    <row r="23" spans="1:16">
      <c r="A23" s="10" t="s">
        <v>58</v>
      </c>
      <c r="B23" s="10">
        <v>0</v>
      </c>
      <c r="C23" s="13">
        <v>0</v>
      </c>
      <c r="D23" s="13">
        <v>0</v>
      </c>
      <c r="E23" s="10">
        <v>20</v>
      </c>
      <c r="F23" s="13">
        <v>0.7</v>
      </c>
      <c r="G23" s="13">
        <v>0.85</v>
      </c>
      <c r="H23" s="10">
        <v>0</v>
      </c>
      <c r="I23" s="13">
        <v>0</v>
      </c>
      <c r="J23" s="13">
        <v>0</v>
      </c>
      <c r="K23" s="10">
        <v>0</v>
      </c>
      <c r="L23" s="13">
        <v>0</v>
      </c>
      <c r="M23" s="13">
        <v>0</v>
      </c>
      <c r="N23" s="10">
        <v>34</v>
      </c>
      <c r="O23" s="13">
        <v>0.6470588</v>
      </c>
      <c r="P23" s="13">
        <v>0.8823529</v>
      </c>
    </row>
    <row r="24" spans="1:16">
      <c r="A24" s="10" t="s">
        <v>59</v>
      </c>
      <c r="B24" s="11">
        <v>0</v>
      </c>
      <c r="C24" s="12">
        <v>0</v>
      </c>
      <c r="D24" s="12">
        <v>0</v>
      </c>
      <c r="E24" s="11">
        <v>14</v>
      </c>
      <c r="F24" s="12">
        <v>0.8571429</v>
      </c>
      <c r="G24" s="12">
        <v>1</v>
      </c>
      <c r="H24" s="11">
        <v>0</v>
      </c>
      <c r="I24" s="12">
        <v>0</v>
      </c>
      <c r="J24" s="12">
        <v>0</v>
      </c>
      <c r="K24" s="11">
        <v>0</v>
      </c>
      <c r="L24" s="12">
        <v>0</v>
      </c>
      <c r="M24" s="12">
        <v>0</v>
      </c>
      <c r="N24" s="11">
        <v>31</v>
      </c>
      <c r="O24" s="12">
        <v>0.7096774</v>
      </c>
      <c r="P24" s="12">
        <v>0.9354839</v>
      </c>
    </row>
    <row r="25" spans="1:16">
      <c r="A25" s="14" t="s">
        <v>87</v>
      </c>
      <c r="B25" s="15" t="str">
        <f>SUM(B22:B24)</f>
        <v>0</v>
      </c>
      <c r="C25" s="16" t="str">
        <f>IF(B25=0, 0, ((B22*C22)+(B23*C23)+(B24*C24))/B25)</f>
        <v>0</v>
      </c>
      <c r="D25" s="16" t="str">
        <f>IF(B25=0, 0, ((B22*D22)+(B23*D23)+(B24*D24))/B25)</f>
        <v>0</v>
      </c>
      <c r="E25" s="15" t="str">
        <f>SUM(E22:E24)</f>
        <v>0</v>
      </c>
      <c r="F25" s="16" t="str">
        <f>IF(E25=0, 0, ((E22*F22)+(E23*F23)+(E24*F24))/E25)</f>
        <v>0</v>
      </c>
      <c r="G25" s="16" t="str">
        <f>IF(E25=0, 0, ((E22*G22)+(E23*G23)+(E24*G24))/E25)</f>
        <v>0</v>
      </c>
      <c r="H25" s="15" t="str">
        <f>SUM(H22:H24)</f>
        <v>0</v>
      </c>
      <c r="I25" s="16" t="str">
        <f>IF(H25=0, 0, ((H22*I22)+(H23*I23)+(H24*I24))/H25)</f>
        <v>0</v>
      </c>
      <c r="J25" s="16" t="str">
        <f>IF(H25=0, 0, ((H22*J22)+(H23*J23)+(H24*J24))/H25)</f>
        <v>0</v>
      </c>
      <c r="K25" s="15" t="str">
        <f>SUM(K22:K24)</f>
        <v>0</v>
      </c>
      <c r="L25" s="16" t="str">
        <f>IF(K25=0, 0, ((K22*L22)+(K23*L23)+(K24*L24))/K25)</f>
        <v>0</v>
      </c>
      <c r="M25" s="16" t="str">
        <f>IF(K25=0, 0, ((K22*M22)+(K23*M23)+(K24*M24))/K25)</f>
        <v>0</v>
      </c>
      <c r="N25" s="15" t="str">
        <f>SUM(N22:N24)</f>
        <v>0</v>
      </c>
      <c r="O25" s="16" t="str">
        <f>IF(N25=0, 0, ((N22*O22)+(N23*O23)+(N24*O24))/N25)</f>
        <v>0</v>
      </c>
      <c r="P25" s="16" t="str">
        <f>IF(N25=0, 0, ((N22*P22)+(N23*P23)+(N24*P24))/N25)</f>
        <v>0</v>
      </c>
    </row>
    <row r="28" spans="1:16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</row>
    <row r="30" spans="1:16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</row>
    <row r="32" spans="1:16">
      <c r="A32" s="17" t="s">
        <v>73</v>
      </c>
      <c r="B32" s="18"/>
      <c r="C32" t="s">
        <v>88</v>
      </c>
      <c r="D32"/>
      <c r="E32"/>
      <c r="F32"/>
      <c r="G32"/>
      <c r="H32"/>
      <c r="I32"/>
      <c r="J32"/>
      <c r="K32"/>
      <c r="L32"/>
      <c r="M32"/>
      <c r="N32"/>
      <c r="O32"/>
      <c r="P32"/>
    </row>
    <row r="33" spans="1:16">
      <c r="A33" s="17" t="s">
        <v>75</v>
      </c>
      <c r="B33" s="18"/>
      <c r="C33" t="s">
        <v>76</v>
      </c>
      <c r="D33"/>
      <c r="E33"/>
      <c r="F33"/>
      <c r="G33"/>
      <c r="H33"/>
      <c r="I33"/>
      <c r="J33"/>
      <c r="K33"/>
      <c r="L33"/>
      <c r="M33"/>
      <c r="N33"/>
      <c r="O33"/>
      <c r="P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  <mergeCell ref="B20:D20"/>
    <mergeCell ref="E20:G20"/>
    <mergeCell ref="H20:J20"/>
    <mergeCell ref="K20:M20"/>
    <mergeCell ref="N20:P20"/>
    <mergeCell ref="A28:P28"/>
    <mergeCell ref="A30:B30"/>
    <mergeCell ref="C30:P30"/>
    <mergeCell ref="A31:B31"/>
    <mergeCell ref="C31:P31"/>
    <mergeCell ref="A32:B32"/>
    <mergeCell ref="C32:P32"/>
    <mergeCell ref="A33:B33"/>
    <mergeCell ref="C33:P33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89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90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91</v>
      </c>
      <c r="C4" s="9"/>
      <c r="D4" s="9"/>
      <c r="E4" s="9" t="s">
        <v>92</v>
      </c>
      <c r="F4" s="9"/>
      <c r="G4" s="9"/>
      <c r="H4" s="9" t="s">
        <v>93</v>
      </c>
      <c r="I4" s="9"/>
      <c r="J4" s="9"/>
      <c r="K4" s="9" t="s">
        <v>94</v>
      </c>
      <c r="L4" s="9"/>
      <c r="M4" s="9"/>
      <c r="N4" s="9" t="s">
        <v>95</v>
      </c>
      <c r="O4" s="9"/>
      <c r="P4" s="9"/>
      <c r="Q4" s="9" t="s">
        <v>96</v>
      </c>
      <c r="R4" s="9"/>
      <c r="S4" s="9"/>
      <c r="T4" s="9" t="s">
        <v>97</v>
      </c>
      <c r="U4" s="9"/>
      <c r="V4" s="9"/>
    </row>
    <row r="5" spans="1:22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  <c r="K5" s="9" t="s">
        <v>84</v>
      </c>
      <c r="L5" s="9" t="s">
        <v>85</v>
      </c>
      <c r="M5" s="9" t="s">
        <v>86</v>
      </c>
      <c r="N5" s="9" t="s">
        <v>84</v>
      </c>
      <c r="O5" s="9" t="s">
        <v>85</v>
      </c>
      <c r="P5" s="9" t="s">
        <v>86</v>
      </c>
      <c r="Q5" s="9" t="s">
        <v>84</v>
      </c>
      <c r="R5" s="9" t="s">
        <v>85</v>
      </c>
      <c r="S5" s="9" t="s">
        <v>86</v>
      </c>
      <c r="T5" s="9" t="s">
        <v>84</v>
      </c>
      <c r="U5" s="9" t="s">
        <v>85</v>
      </c>
      <c r="V5" s="9" t="s">
        <v>86</v>
      </c>
    </row>
    <row r="6" spans="1:22">
      <c r="A6" s="10" t="s">
        <v>18</v>
      </c>
      <c r="B6" s="11">
        <v>9</v>
      </c>
      <c r="C6" s="12">
        <v>1</v>
      </c>
      <c r="D6" s="12">
        <v>1</v>
      </c>
      <c r="E6" s="11">
        <v>10</v>
      </c>
      <c r="F6" s="12">
        <v>0.9</v>
      </c>
      <c r="G6" s="12">
        <v>1</v>
      </c>
      <c r="H6" s="11">
        <v>3</v>
      </c>
      <c r="I6" s="12">
        <v>0.6666667</v>
      </c>
      <c r="J6" s="12">
        <v>0.6666667</v>
      </c>
      <c r="K6" s="11">
        <v>1</v>
      </c>
      <c r="L6" s="12">
        <v>1</v>
      </c>
      <c r="M6" s="12">
        <v>1</v>
      </c>
      <c r="N6" s="11">
        <v>0</v>
      </c>
      <c r="O6" s="12">
        <v>0</v>
      </c>
      <c r="P6" s="12">
        <v>0</v>
      </c>
      <c r="Q6" s="11">
        <v>1</v>
      </c>
      <c r="R6" s="12">
        <v>1</v>
      </c>
      <c r="S6" s="12">
        <v>1</v>
      </c>
      <c r="T6" s="11">
        <v>0</v>
      </c>
      <c r="U6" s="12">
        <v>0</v>
      </c>
      <c r="V6" s="12">
        <v>0</v>
      </c>
    </row>
    <row r="7" spans="1:22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  <c r="K7" s="10">
        <v>0</v>
      </c>
      <c r="L7" s="13">
        <v>0</v>
      </c>
      <c r="M7" s="13">
        <v>0</v>
      </c>
      <c r="N7" s="10">
        <v>0</v>
      </c>
      <c r="O7" s="13">
        <v>0</v>
      </c>
      <c r="P7" s="13">
        <v>0</v>
      </c>
      <c r="Q7" s="10">
        <v>0</v>
      </c>
      <c r="R7" s="13">
        <v>0</v>
      </c>
      <c r="S7" s="13">
        <v>0</v>
      </c>
      <c r="T7" s="10">
        <v>0</v>
      </c>
      <c r="U7" s="13">
        <v>0</v>
      </c>
      <c r="V7" s="13">
        <v>0</v>
      </c>
    </row>
    <row r="8" spans="1:22">
      <c r="A8" s="10" t="s">
        <v>20</v>
      </c>
      <c r="B8" s="11">
        <v>8</v>
      </c>
      <c r="C8" s="12">
        <v>0.75</v>
      </c>
      <c r="D8" s="12">
        <v>0.75</v>
      </c>
      <c r="E8" s="11">
        <v>10</v>
      </c>
      <c r="F8" s="12">
        <v>0.9</v>
      </c>
      <c r="G8" s="12">
        <v>0.9</v>
      </c>
      <c r="H8" s="11">
        <v>1</v>
      </c>
      <c r="I8" s="12">
        <v>1</v>
      </c>
      <c r="J8" s="12">
        <v>1</v>
      </c>
      <c r="K8" s="11">
        <v>0</v>
      </c>
      <c r="L8" s="12">
        <v>0</v>
      </c>
      <c r="M8" s="12">
        <v>0</v>
      </c>
      <c r="N8" s="11">
        <v>1</v>
      </c>
      <c r="O8" s="12">
        <v>1</v>
      </c>
      <c r="P8" s="12">
        <v>1</v>
      </c>
      <c r="Q8" s="11">
        <v>1</v>
      </c>
      <c r="R8" s="12">
        <v>1</v>
      </c>
      <c r="S8" s="12">
        <v>1</v>
      </c>
      <c r="T8" s="11">
        <v>0</v>
      </c>
      <c r="U8" s="12">
        <v>0</v>
      </c>
      <c r="V8" s="12">
        <v>0</v>
      </c>
    </row>
    <row r="9" spans="1:22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  <c r="K9" s="10">
        <v>0</v>
      </c>
      <c r="L9" s="13">
        <v>0</v>
      </c>
      <c r="M9" s="13">
        <v>0</v>
      </c>
      <c r="N9" s="10">
        <v>0</v>
      </c>
      <c r="O9" s="13">
        <v>0</v>
      </c>
      <c r="P9" s="13">
        <v>0</v>
      </c>
      <c r="Q9" s="10">
        <v>0</v>
      </c>
      <c r="R9" s="13">
        <v>0</v>
      </c>
      <c r="S9" s="13">
        <v>0</v>
      </c>
      <c r="T9" s="10">
        <v>0</v>
      </c>
      <c r="U9" s="13">
        <v>0</v>
      </c>
      <c r="V9" s="13">
        <v>0</v>
      </c>
    </row>
    <row r="10" spans="1:22">
      <c r="A10" s="10" t="s">
        <v>22</v>
      </c>
      <c r="B10" s="11">
        <v>10</v>
      </c>
      <c r="C10" s="12">
        <v>0.9</v>
      </c>
      <c r="D10" s="12">
        <v>0.9</v>
      </c>
      <c r="E10" s="11">
        <v>12</v>
      </c>
      <c r="F10" s="12">
        <v>0.6666667</v>
      </c>
      <c r="G10" s="12">
        <v>0.9166667</v>
      </c>
      <c r="H10" s="11">
        <v>2</v>
      </c>
      <c r="I10" s="12">
        <v>0.5</v>
      </c>
      <c r="J10" s="12">
        <v>1</v>
      </c>
      <c r="K10" s="11">
        <v>3</v>
      </c>
      <c r="L10" s="12">
        <v>0.6666667</v>
      </c>
      <c r="M10" s="12">
        <v>1</v>
      </c>
      <c r="N10" s="11">
        <v>0</v>
      </c>
      <c r="O10" s="12">
        <v>0</v>
      </c>
      <c r="P10" s="12">
        <v>0</v>
      </c>
      <c r="Q10" s="11">
        <v>0</v>
      </c>
      <c r="R10" s="12">
        <v>0</v>
      </c>
      <c r="S10" s="12">
        <v>0</v>
      </c>
      <c r="T10" s="11">
        <v>0</v>
      </c>
      <c r="U10" s="12">
        <v>0</v>
      </c>
      <c r="V10" s="12">
        <v>0</v>
      </c>
    </row>
    <row r="11" spans="1:22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  <c r="K11" s="10">
        <v>0</v>
      </c>
      <c r="L11" s="13">
        <v>0</v>
      </c>
      <c r="M11" s="13">
        <v>0</v>
      </c>
      <c r="N11" s="10">
        <v>0</v>
      </c>
      <c r="O11" s="13">
        <v>0</v>
      </c>
      <c r="P11" s="13">
        <v>0</v>
      </c>
      <c r="Q11" s="10">
        <v>0</v>
      </c>
      <c r="R11" s="13">
        <v>0</v>
      </c>
      <c r="S11" s="13">
        <v>0</v>
      </c>
      <c r="T11" s="10">
        <v>0</v>
      </c>
      <c r="U11" s="13">
        <v>0</v>
      </c>
      <c r="V11" s="13">
        <v>0</v>
      </c>
    </row>
    <row r="12" spans="1:22">
      <c r="A12" s="10" t="s">
        <v>24</v>
      </c>
      <c r="B12" s="11">
        <v>6</v>
      </c>
      <c r="C12" s="12">
        <v>0.6666667</v>
      </c>
      <c r="D12" s="12">
        <v>0.6666667</v>
      </c>
      <c r="E12" s="11">
        <v>14</v>
      </c>
      <c r="F12" s="12">
        <v>0.5</v>
      </c>
      <c r="G12" s="12">
        <v>0.7857143</v>
      </c>
      <c r="H12" s="11">
        <v>3</v>
      </c>
      <c r="I12" s="12">
        <v>1</v>
      </c>
      <c r="J12" s="12">
        <v>1</v>
      </c>
      <c r="K12" s="11">
        <v>2</v>
      </c>
      <c r="L12" s="12">
        <v>0.5</v>
      </c>
      <c r="M12" s="12">
        <v>1</v>
      </c>
      <c r="N12" s="11">
        <v>1</v>
      </c>
      <c r="O12" s="12">
        <v>1</v>
      </c>
      <c r="P12" s="12">
        <v>1</v>
      </c>
      <c r="Q12" s="11">
        <v>1</v>
      </c>
      <c r="R12" s="12">
        <v>0</v>
      </c>
      <c r="S12" s="12">
        <v>1</v>
      </c>
      <c r="T12" s="11">
        <v>0</v>
      </c>
      <c r="U12" s="12">
        <v>0</v>
      </c>
      <c r="V12" s="12">
        <v>0</v>
      </c>
    </row>
    <row r="13" spans="1:22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  <c r="K13" s="10">
        <v>0</v>
      </c>
      <c r="L13" s="13">
        <v>0</v>
      </c>
      <c r="M13" s="13">
        <v>0</v>
      </c>
      <c r="N13" s="10">
        <v>0</v>
      </c>
      <c r="O13" s="13">
        <v>0</v>
      </c>
      <c r="P13" s="13">
        <v>0</v>
      </c>
      <c r="Q13" s="10">
        <v>0</v>
      </c>
      <c r="R13" s="13">
        <v>0</v>
      </c>
      <c r="S13" s="13">
        <v>0</v>
      </c>
      <c r="T13" s="10">
        <v>0</v>
      </c>
      <c r="U13" s="13">
        <v>0</v>
      </c>
      <c r="V13" s="13">
        <v>0</v>
      </c>
    </row>
    <row r="14" spans="1:22">
      <c r="A14" s="10" t="s">
        <v>26</v>
      </c>
      <c r="B14" s="11">
        <v>3</v>
      </c>
      <c r="C14" s="12">
        <v>0.6666667</v>
      </c>
      <c r="D14" s="12">
        <v>1</v>
      </c>
      <c r="E14" s="11">
        <v>12</v>
      </c>
      <c r="F14" s="12">
        <v>0.6666667</v>
      </c>
      <c r="G14" s="12">
        <v>0.9166667</v>
      </c>
      <c r="H14" s="11">
        <v>4</v>
      </c>
      <c r="I14" s="12">
        <v>0.75</v>
      </c>
      <c r="J14" s="12">
        <v>1</v>
      </c>
      <c r="K14" s="11">
        <v>2</v>
      </c>
      <c r="L14" s="12">
        <v>1</v>
      </c>
      <c r="M14" s="12">
        <v>1</v>
      </c>
      <c r="N14" s="11">
        <v>0</v>
      </c>
      <c r="O14" s="12">
        <v>0</v>
      </c>
      <c r="P14" s="12">
        <v>0</v>
      </c>
      <c r="Q14" s="11">
        <v>1</v>
      </c>
      <c r="R14" s="12">
        <v>0</v>
      </c>
      <c r="S14" s="12">
        <v>1</v>
      </c>
      <c r="T14" s="11">
        <v>0</v>
      </c>
      <c r="U14" s="12">
        <v>0</v>
      </c>
      <c r="V14" s="12">
        <v>0</v>
      </c>
    </row>
    <row r="15" spans="1:22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  <c r="K15" s="10">
        <v>0</v>
      </c>
      <c r="L15" s="13">
        <v>0</v>
      </c>
      <c r="M15" s="13">
        <v>0</v>
      </c>
      <c r="N15" s="10">
        <v>0</v>
      </c>
      <c r="O15" s="13">
        <v>0</v>
      </c>
      <c r="P15" s="13">
        <v>0</v>
      </c>
      <c r="Q15" s="10">
        <v>0</v>
      </c>
      <c r="R15" s="13">
        <v>0</v>
      </c>
      <c r="S15" s="13">
        <v>0</v>
      </c>
      <c r="T15" s="10">
        <v>0</v>
      </c>
      <c r="U15" s="13">
        <v>0</v>
      </c>
      <c r="V15" s="13">
        <v>0</v>
      </c>
    </row>
    <row r="16" spans="1:22">
      <c r="A16" s="10" t="s">
        <v>28</v>
      </c>
      <c r="B16" s="11">
        <v>8</v>
      </c>
      <c r="C16" s="12">
        <v>0.625</v>
      </c>
      <c r="D16" s="12">
        <v>1</v>
      </c>
      <c r="E16" s="11">
        <v>11</v>
      </c>
      <c r="F16" s="12">
        <v>0.9090909</v>
      </c>
      <c r="G16" s="12">
        <v>0.9090909</v>
      </c>
      <c r="H16" s="11">
        <v>1</v>
      </c>
      <c r="I16" s="12">
        <v>1</v>
      </c>
      <c r="J16" s="12">
        <v>1</v>
      </c>
      <c r="K16" s="11">
        <v>1</v>
      </c>
      <c r="L16" s="12">
        <v>1</v>
      </c>
      <c r="M16" s="12">
        <v>1</v>
      </c>
      <c r="N16" s="11">
        <v>0</v>
      </c>
      <c r="O16" s="12">
        <v>0</v>
      </c>
      <c r="P16" s="12">
        <v>0</v>
      </c>
      <c r="Q16" s="11">
        <v>1</v>
      </c>
      <c r="R16" s="12">
        <v>1</v>
      </c>
      <c r="S16" s="12">
        <v>1</v>
      </c>
      <c r="T16" s="11">
        <v>1</v>
      </c>
      <c r="U16" s="12">
        <v>1</v>
      </c>
      <c r="V16" s="12">
        <v>1</v>
      </c>
    </row>
    <row r="17" spans="1:22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  <c r="K17" s="10">
        <v>0</v>
      </c>
      <c r="L17" s="13">
        <v>0</v>
      </c>
      <c r="M17" s="13">
        <v>0</v>
      </c>
      <c r="N17" s="10">
        <v>0</v>
      </c>
      <c r="O17" s="13">
        <v>0</v>
      </c>
      <c r="P17" s="13">
        <v>0</v>
      </c>
      <c r="Q17" s="10">
        <v>0</v>
      </c>
      <c r="R17" s="13">
        <v>0</v>
      </c>
      <c r="S17" s="13">
        <v>0</v>
      </c>
      <c r="T17" s="10">
        <v>0</v>
      </c>
      <c r="U17" s="13">
        <v>0</v>
      </c>
      <c r="V17" s="13">
        <v>0</v>
      </c>
    </row>
    <row r="18" spans="1:22">
      <c r="A18" s="14" t="s">
        <v>87</v>
      </c>
      <c r="B18" s="15" t="str">
        <f>SUM(B6:B17)</f>
        <v>0</v>
      </c>
      <c r="C18" s="16" t="str">
        <f>IF(B18=0, "", ((B6*C6)+(B7*C7)+(B8*C8)+(B9*C9)+(B10*C10)+(B11*C11)+(B12*C12)+(B13*C13)+(B14*C14)+(B15*C15)+(B16*C16)+(B17*C17))/B18)</f>
        <v>0</v>
      </c>
      <c r="D18" s="16" t="str">
        <f>IF(B18=0, "", ((B6*D6)+(B7*D7)+(B8*D8)+(B9*D9)+(B10*D10)+(B11*D11)+(B12*D12)+(B13*D13)+(B14*D14)+(B15*D15)+(B16*D16)+(B17*D17))/B18)</f>
        <v>0</v>
      </c>
      <c r="E18" s="15" t="str">
        <f>SUM(E6:E17)</f>
        <v>0</v>
      </c>
      <c r="F18" s="16" t="str">
        <f>IF(E18=0, "", ((E6*F6)+(E7*F7)+(E8*F8)+(E9*F9)+(E10*F10)+(E11*F11)+(E12*F12)+(E13*F13)+(E14*F14)+(E15*F15)+(E16*F16)+(E17*F17))/E18)</f>
        <v>0</v>
      </c>
      <c r="G18" s="16" t="str">
        <f>IF(E18=0, "", ((E6*G6)+(E7*G7)+(E8*G8)+(E9*G9)+(E10*G10)+(E11*G11)+(E12*G12)+(E13*G13)+(E14*G14)+(E15*G15)+(E16*G16)+(E17*G17))/E18)</f>
        <v>0</v>
      </c>
      <c r="H18" s="15" t="str">
        <f>SUM(H6:H17)</f>
        <v>0</v>
      </c>
      <c r="I18" s="16" t="str">
        <f>IF(H18=0, "", ((H6*I6)+(H7*I7)+(H8*I8)+(H9*I9)+(H10*I10)+(H11*I11)+(H12*I12)+(H13*I13)+(H14*I14)+(H15*I15)+(H16*I16)+(H17*I17))/H18)</f>
        <v>0</v>
      </c>
      <c r="J18" s="16" t="str">
        <f>IF(H18=0, "", ((H6*J6)+(H7*J7)+(H8*J8)+(H9*J9)+(H10*J10)+(H11*J11)+(H12*J12)+(H13*J13)+(H14*J14)+(H15*J15)+(H16*J16)+(H17*J17))/H18)</f>
        <v>0</v>
      </c>
      <c r="K18" s="15" t="str">
        <f>SUM(K6:K17)</f>
        <v>0</v>
      </c>
      <c r="L18" s="16" t="str">
        <f>IF(K18=0, "", ((K6*L6)+(K7*L7)+(K8*L8)+(K9*L9)+(K10*L10)+(K11*L11)+(K12*L12)+(K13*L13)+(K14*L14)+(K15*L15)+(K16*L16)+(K17*L17))/K18)</f>
        <v>0</v>
      </c>
      <c r="M18" s="16" t="str">
        <f>IF(K18=0, "", ((K6*M6)+(K7*M7)+(K8*M8)+(K9*M9)+(K10*M10)+(K11*M11)+(K12*M12)+(K13*M13)+(K14*M14)+(K15*M15)+(K16*M16)+(K17*M17))/K18)</f>
        <v>0</v>
      </c>
      <c r="N18" s="15" t="str">
        <f>SUM(N6:N17)</f>
        <v>0</v>
      </c>
      <c r="O18" s="16" t="str">
        <f>IF(N18=0, "", ((N6*O6)+(N7*O7)+(N8*O8)+(N9*O9)+(N10*O10)+(N11*O11)+(N12*O12)+(N13*O13)+(N14*O14)+(N15*O15)+(N16*O16)+(N17*O17))/N18)</f>
        <v>0</v>
      </c>
      <c r="P18" s="16" t="str">
        <f>IF(N18=0, "", ((N6*P6)+(N7*P7)+(N8*P8)+(N9*P9)+(N10*P10)+(N11*P11)+(N12*P12)+(N13*P13)+(N14*P14)+(N15*P15)+(N16*P16)+(N17*P17))/N18)</f>
        <v>0</v>
      </c>
      <c r="Q18" s="15" t="str">
        <f>SUM(Q6:Q17)</f>
        <v>0</v>
      </c>
      <c r="R18" s="16" t="str">
        <f>IF(Q18=0, "", ((Q6*R6)+(Q7*R7)+(Q8*R8)+(Q9*R9)+(Q10*R10)+(Q11*R11)+(Q12*R12)+(Q13*R13)+(Q14*R14)+(Q15*R15)+(Q16*R16)+(Q17*R17))/Q18)</f>
        <v>0</v>
      </c>
      <c r="S18" s="16" t="str">
        <f>IF(Q18=0, "", ((Q6*S6)+(Q7*S7)+(Q8*S8)+(Q9*S9)+(Q10*S10)+(Q11*S11)+(Q12*S12)+(Q13*S13)+(Q14*S14)+(Q15*S15)+(Q16*S16)+(Q17*S17))/Q18)</f>
        <v>0</v>
      </c>
      <c r="T18" s="15" t="str">
        <f>SUM(T6:T17)</f>
        <v>0</v>
      </c>
      <c r="U18" s="16" t="str">
        <f>IF(T18=0, "", ((T6*U6)+(T7*U7)+(T8*U8)+(T9*U9)+(T10*U10)+(T11*U11)+(T12*U12)+(T13*U13)+(T14*U14)+(T15*U15)+(T16*U16)+(T17*U17))/T18)</f>
        <v>0</v>
      </c>
      <c r="V18" s="16" t="str">
        <f>IF(T18=0, "", ((T6*V6)+(T7*V7)+(T8*V8)+(T9*V9)+(T10*V10)+(T11*V11)+(T12*V12)+(T13*V13)+(T14*V14)+(T15*V15)+(T16*V16)+(T17*V17))/T18)</f>
        <v>0</v>
      </c>
    </row>
    <row r="20" spans="1:22">
      <c r="B20" s="9" t="s">
        <v>91</v>
      </c>
      <c r="C20" s="9"/>
      <c r="D20" s="9"/>
      <c r="E20" s="9" t="s">
        <v>92</v>
      </c>
      <c r="F20" s="9"/>
      <c r="G20" s="9"/>
      <c r="H20" s="9" t="s">
        <v>93</v>
      </c>
      <c r="I20" s="9"/>
      <c r="J20" s="9"/>
      <c r="K20" s="9" t="s">
        <v>94</v>
      </c>
      <c r="L20" s="9"/>
      <c r="M20" s="9"/>
      <c r="N20" s="9" t="s">
        <v>95</v>
      </c>
      <c r="O20" s="9"/>
      <c r="P20" s="9"/>
      <c r="Q20" s="9" t="s">
        <v>96</v>
      </c>
      <c r="R20" s="9"/>
      <c r="S20" s="9"/>
      <c r="T20" s="9" t="s">
        <v>97</v>
      </c>
      <c r="U20" s="9"/>
      <c r="V20" s="9"/>
    </row>
    <row r="21" spans="1:22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  <c r="K21" s="9" t="s">
        <v>84</v>
      </c>
      <c r="L21" s="9" t="s">
        <v>85</v>
      </c>
      <c r="M21" s="9" t="s">
        <v>86</v>
      </c>
      <c r="N21" s="9" t="s">
        <v>84</v>
      </c>
      <c r="O21" s="9" t="s">
        <v>85</v>
      </c>
      <c r="P21" s="9" t="s">
        <v>86</v>
      </c>
      <c r="Q21" s="9" t="s">
        <v>84</v>
      </c>
      <c r="R21" s="9" t="s">
        <v>85</v>
      </c>
      <c r="S21" s="9" t="s">
        <v>86</v>
      </c>
      <c r="T21" s="9" t="s">
        <v>84</v>
      </c>
      <c r="U21" s="9" t="s">
        <v>85</v>
      </c>
      <c r="V21" s="9" t="s">
        <v>86</v>
      </c>
    </row>
    <row r="22" spans="1:22">
      <c r="A22" s="10" t="s">
        <v>57</v>
      </c>
      <c r="B22" s="11">
        <v>17</v>
      </c>
      <c r="C22" s="12">
        <v>0.8823529</v>
      </c>
      <c r="D22" s="12">
        <v>0.8823529</v>
      </c>
      <c r="E22" s="11">
        <v>20</v>
      </c>
      <c r="F22" s="12">
        <v>0.9</v>
      </c>
      <c r="G22" s="12">
        <v>0.95</v>
      </c>
      <c r="H22" s="11">
        <v>4</v>
      </c>
      <c r="I22" s="12">
        <v>0.75</v>
      </c>
      <c r="J22" s="12">
        <v>0.75</v>
      </c>
      <c r="K22" s="11">
        <v>1</v>
      </c>
      <c r="L22" s="12">
        <v>1</v>
      </c>
      <c r="M22" s="12">
        <v>1</v>
      </c>
      <c r="N22" s="11">
        <v>1</v>
      </c>
      <c r="O22" s="12">
        <v>1</v>
      </c>
      <c r="P22" s="12">
        <v>1</v>
      </c>
      <c r="Q22" s="11">
        <v>2</v>
      </c>
      <c r="R22" s="12">
        <v>1</v>
      </c>
      <c r="S22" s="12">
        <v>1</v>
      </c>
      <c r="T22" s="11">
        <v>0</v>
      </c>
      <c r="U22" s="12">
        <v>0</v>
      </c>
      <c r="V22" s="12">
        <v>0</v>
      </c>
    </row>
    <row r="23" spans="1:22">
      <c r="A23" s="10" t="s">
        <v>58</v>
      </c>
      <c r="B23" s="10">
        <v>16</v>
      </c>
      <c r="C23" s="13">
        <v>0.8125</v>
      </c>
      <c r="D23" s="13">
        <v>0.8125</v>
      </c>
      <c r="E23" s="10">
        <v>26</v>
      </c>
      <c r="F23" s="13">
        <v>0.5769231</v>
      </c>
      <c r="G23" s="13">
        <v>0.8461538</v>
      </c>
      <c r="H23" s="10">
        <v>5</v>
      </c>
      <c r="I23" s="13">
        <v>0.8</v>
      </c>
      <c r="J23" s="13">
        <v>1</v>
      </c>
      <c r="K23" s="10">
        <v>5</v>
      </c>
      <c r="L23" s="13">
        <v>0.6</v>
      </c>
      <c r="M23" s="13">
        <v>1</v>
      </c>
      <c r="N23" s="10">
        <v>1</v>
      </c>
      <c r="O23" s="13">
        <v>1</v>
      </c>
      <c r="P23" s="13">
        <v>1</v>
      </c>
      <c r="Q23" s="10">
        <v>1</v>
      </c>
      <c r="R23" s="13">
        <v>0</v>
      </c>
      <c r="S23" s="13">
        <v>1</v>
      </c>
      <c r="T23" s="10">
        <v>0</v>
      </c>
      <c r="U23" s="13">
        <v>0</v>
      </c>
      <c r="V23" s="13">
        <v>0</v>
      </c>
    </row>
    <row r="24" spans="1:22">
      <c r="A24" s="10" t="s">
        <v>59</v>
      </c>
      <c r="B24" s="11">
        <v>11</v>
      </c>
      <c r="C24" s="12">
        <v>0.6363636</v>
      </c>
      <c r="D24" s="12">
        <v>1</v>
      </c>
      <c r="E24" s="11">
        <v>23</v>
      </c>
      <c r="F24" s="12">
        <v>0.7826087</v>
      </c>
      <c r="G24" s="12">
        <v>0.9130435</v>
      </c>
      <c r="H24" s="11">
        <v>5</v>
      </c>
      <c r="I24" s="12">
        <v>0.8</v>
      </c>
      <c r="J24" s="12">
        <v>1</v>
      </c>
      <c r="K24" s="11">
        <v>3</v>
      </c>
      <c r="L24" s="12">
        <v>1</v>
      </c>
      <c r="M24" s="12">
        <v>1</v>
      </c>
      <c r="N24" s="11">
        <v>0</v>
      </c>
      <c r="O24" s="12">
        <v>0</v>
      </c>
      <c r="P24" s="12">
        <v>0</v>
      </c>
      <c r="Q24" s="11">
        <v>2</v>
      </c>
      <c r="R24" s="12">
        <v>0.5</v>
      </c>
      <c r="S24" s="12">
        <v>1</v>
      </c>
      <c r="T24" s="11">
        <v>1</v>
      </c>
      <c r="U24" s="12">
        <v>1</v>
      </c>
      <c r="V24" s="12">
        <v>1</v>
      </c>
    </row>
    <row r="25" spans="1:22">
      <c r="A25" s="14" t="s">
        <v>87</v>
      </c>
      <c r="B25" s="15" t="str">
        <f>SUM(B22:B24)</f>
        <v>0</v>
      </c>
      <c r="C25" s="16" t="str">
        <f>IF(B25=0, "", ((B22*C22)+(B23*C23)+(B24*C24))/B25)</f>
        <v>0</v>
      </c>
      <c r="D25" s="16" t="str">
        <f>IF(B25=0, "", ((B22*D22)+(B23*D23)+(B24*D24))/B25)</f>
        <v>0</v>
      </c>
      <c r="E25" s="15" t="str">
        <f>SUM(E22:E24)</f>
        <v>0</v>
      </c>
      <c r="F25" s="16" t="str">
        <f>IF(E25=0, "", ((E22*F22)+(E23*F23)+(E24*F24))/E25)</f>
        <v>0</v>
      </c>
      <c r="G25" s="16" t="str">
        <f>IF(E25=0, "", ((E22*G22)+(E23*G23)+(E24*G24))/E25)</f>
        <v>0</v>
      </c>
      <c r="H25" s="15" t="str">
        <f>SUM(H22:H24)</f>
        <v>0</v>
      </c>
      <c r="I25" s="16" t="str">
        <f>IF(H25=0, "", ((H22*I22)+(H23*I23)+(H24*I24))/H25)</f>
        <v>0</v>
      </c>
      <c r="J25" s="16" t="str">
        <f>IF(H25=0, "", ((H22*J22)+(H23*J23)+(H24*J24))/H25)</f>
        <v>0</v>
      </c>
      <c r="K25" s="15" t="str">
        <f>SUM(K22:K24)</f>
        <v>0</v>
      </c>
      <c r="L25" s="16" t="str">
        <f>IF(K25=0, "", ((K22*L22)+(K23*L23)+(K24*L24))/K25)</f>
        <v>0</v>
      </c>
      <c r="M25" s="16" t="str">
        <f>IF(K25=0, "", ((K22*M22)+(K23*M23)+(K24*M24))/K25)</f>
        <v>0</v>
      </c>
      <c r="N25" s="15" t="str">
        <f>SUM(N22:N24)</f>
        <v>0</v>
      </c>
      <c r="O25" s="16" t="str">
        <f>IF(N25=0, "", ((N22*O22)+(N23*O23)+(N24*O24))/N25)</f>
        <v>0</v>
      </c>
      <c r="P25" s="16" t="str">
        <f>IF(N25=0, "", ((N22*P22)+(N23*P23)+(N24*P24))/N25)</f>
        <v>0</v>
      </c>
      <c r="Q25" s="15" t="str">
        <f>SUM(Q22:Q24)</f>
        <v>0</v>
      </c>
      <c r="R25" s="16" t="str">
        <f>IF(Q25=0, "", ((Q22*R22)+(Q23*R23)+(Q24*R24))/Q25)</f>
        <v>0</v>
      </c>
      <c r="S25" s="16" t="str">
        <f>IF(Q25=0, "", ((Q22*S22)+(Q23*S23)+(Q24*S24))/Q25)</f>
        <v>0</v>
      </c>
      <c r="T25" s="15" t="str">
        <f>SUM(T22:T24)</f>
        <v>0</v>
      </c>
      <c r="U25" s="16" t="str">
        <f>IF(T25=0, "", ((T22*U22)+(T23*U23)+(T24*U24))/T25)</f>
        <v>0</v>
      </c>
      <c r="V25" s="16" t="str">
        <f>IF(T25=0, "", ((T22*V22)+(T23*V23)+(T24*V24))/T25)</f>
        <v>0</v>
      </c>
    </row>
    <row r="28" spans="1:22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  <row r="30" spans="1:22">
      <c r="A30" s="17" t="s">
        <v>36</v>
      </c>
      <c r="B30" s="18"/>
      <c r="C30" t="s">
        <v>37</v>
      </c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spans="1:22">
      <c r="A31" s="17" t="s">
        <v>40</v>
      </c>
      <c r="B31" s="18"/>
      <c r="C31" t="s">
        <v>41</v>
      </c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spans="1:22">
      <c r="A32" s="17" t="s">
        <v>73</v>
      </c>
      <c r="B32" s="18"/>
      <c r="C32" t="s">
        <v>88</v>
      </c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spans="1:22">
      <c r="A33" s="17" t="s">
        <v>75</v>
      </c>
      <c r="B33" s="18"/>
      <c r="C33" t="s">
        <v>76</v>
      </c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  <mergeCell ref="B20:D20"/>
    <mergeCell ref="E20:G20"/>
    <mergeCell ref="H20:J20"/>
    <mergeCell ref="K20:M20"/>
    <mergeCell ref="N20:P20"/>
    <mergeCell ref="Q20:S20"/>
    <mergeCell ref="T20:V20"/>
    <mergeCell ref="A28:V28"/>
    <mergeCell ref="A30:B30"/>
    <mergeCell ref="C30:V30"/>
    <mergeCell ref="A31:B31"/>
    <mergeCell ref="C31:V31"/>
    <mergeCell ref="A32:B32"/>
    <mergeCell ref="C32:V32"/>
    <mergeCell ref="A33:B33"/>
    <mergeCell ref="C33:V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0" workbookViewId="0" showGridLines="true" showRowColHeaders="1">
      <selection activeCell="A33" sqref="A33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7" customWidth="true" style="0"/>
    <col min="4" max="4" width="17" customWidth="true" style="0"/>
    <col min="5" max="5" width="6" customWidth="true" style="0"/>
    <col min="6" max="6" width="17" customWidth="true" style="0"/>
    <col min="7" max="7" width="17" customWidth="true" style="0"/>
    <col min="8" max="8" width="6" customWidth="true" style="0"/>
    <col min="9" max="9" width="17" customWidth="true" style="0"/>
    <col min="10" max="10" width="17" customWidth="true" style="0"/>
  </cols>
  <sheetData>
    <row r="1" spans="1:10">
      <c r="A1" s="6" t="s">
        <v>98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99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100</v>
      </c>
      <c r="C4" s="9"/>
      <c r="D4" s="9"/>
      <c r="E4" s="9" t="s">
        <v>101</v>
      </c>
      <c r="F4" s="9"/>
      <c r="G4" s="9"/>
      <c r="H4" s="9" t="s">
        <v>102</v>
      </c>
      <c r="I4" s="9"/>
      <c r="J4" s="9"/>
    </row>
    <row r="5" spans="1:10">
      <c r="A5" s="9" t="s">
        <v>13</v>
      </c>
      <c r="B5" s="9" t="s">
        <v>84</v>
      </c>
      <c r="C5" s="9" t="s">
        <v>85</v>
      </c>
      <c r="D5" s="9" t="s">
        <v>86</v>
      </c>
      <c r="E5" s="9" t="s">
        <v>84</v>
      </c>
      <c r="F5" s="9" t="s">
        <v>85</v>
      </c>
      <c r="G5" s="9" t="s">
        <v>86</v>
      </c>
      <c r="H5" s="9" t="s">
        <v>84</v>
      </c>
      <c r="I5" s="9" t="s">
        <v>85</v>
      </c>
      <c r="J5" s="9" t="s">
        <v>86</v>
      </c>
    </row>
    <row r="6" spans="1:10">
      <c r="A6" s="10" t="s">
        <v>18</v>
      </c>
      <c r="B6" s="11">
        <v>11</v>
      </c>
      <c r="C6" s="12">
        <v>1</v>
      </c>
      <c r="D6" s="12">
        <v>1</v>
      </c>
      <c r="E6" s="11">
        <v>13</v>
      </c>
      <c r="F6" s="12">
        <v>0.8461538</v>
      </c>
      <c r="G6" s="12">
        <v>0.9230769</v>
      </c>
      <c r="H6" s="11">
        <v>0</v>
      </c>
      <c r="I6" s="12">
        <v>0</v>
      </c>
      <c r="J6" s="12">
        <v>0</v>
      </c>
    </row>
    <row r="7" spans="1:10">
      <c r="A7" s="10" t="s">
        <v>19</v>
      </c>
      <c r="B7" s="10">
        <v>0</v>
      </c>
      <c r="C7" s="13">
        <v>0</v>
      </c>
      <c r="D7" s="13">
        <v>0</v>
      </c>
      <c r="E7" s="10">
        <v>0</v>
      </c>
      <c r="F7" s="13">
        <v>0</v>
      </c>
      <c r="G7" s="13">
        <v>0</v>
      </c>
      <c r="H7" s="10">
        <v>0</v>
      </c>
      <c r="I7" s="13">
        <v>0</v>
      </c>
      <c r="J7" s="13">
        <v>0</v>
      </c>
    </row>
    <row r="8" spans="1:10">
      <c r="A8" s="10" t="s">
        <v>20</v>
      </c>
      <c r="B8" s="11">
        <v>10</v>
      </c>
      <c r="C8" s="12">
        <v>0.9</v>
      </c>
      <c r="D8" s="12">
        <v>0.9</v>
      </c>
      <c r="E8" s="11">
        <v>11</v>
      </c>
      <c r="F8" s="12">
        <v>0.8181818</v>
      </c>
      <c r="G8" s="12">
        <v>0.8181818</v>
      </c>
      <c r="H8" s="11">
        <v>0</v>
      </c>
      <c r="I8" s="12">
        <v>0</v>
      </c>
      <c r="J8" s="12">
        <v>0</v>
      </c>
    </row>
    <row r="9" spans="1:10">
      <c r="A9" s="10" t="s">
        <v>21</v>
      </c>
      <c r="B9" s="10">
        <v>0</v>
      </c>
      <c r="C9" s="13">
        <v>0</v>
      </c>
      <c r="D9" s="13">
        <v>0</v>
      </c>
      <c r="E9" s="10">
        <v>0</v>
      </c>
      <c r="F9" s="13">
        <v>0</v>
      </c>
      <c r="G9" s="13">
        <v>0</v>
      </c>
      <c r="H9" s="10">
        <v>0</v>
      </c>
      <c r="I9" s="13">
        <v>0</v>
      </c>
      <c r="J9" s="13">
        <v>0</v>
      </c>
    </row>
    <row r="10" spans="1:10">
      <c r="A10" s="10" t="s">
        <v>22</v>
      </c>
      <c r="B10" s="11">
        <v>11</v>
      </c>
      <c r="C10" s="12">
        <v>0.7272727</v>
      </c>
      <c r="D10" s="12">
        <v>0.9090909</v>
      </c>
      <c r="E10" s="11">
        <v>16</v>
      </c>
      <c r="F10" s="12">
        <v>0.75</v>
      </c>
      <c r="G10" s="12">
        <v>0.9375</v>
      </c>
      <c r="H10" s="11">
        <v>0</v>
      </c>
      <c r="I10" s="12">
        <v>0</v>
      </c>
      <c r="J10" s="12">
        <v>0</v>
      </c>
    </row>
    <row r="11" spans="1:10">
      <c r="A11" s="10" t="s">
        <v>23</v>
      </c>
      <c r="B11" s="10">
        <v>0</v>
      </c>
      <c r="C11" s="13">
        <v>0</v>
      </c>
      <c r="D11" s="13">
        <v>0</v>
      </c>
      <c r="E11" s="10">
        <v>0</v>
      </c>
      <c r="F11" s="13">
        <v>0</v>
      </c>
      <c r="G11" s="13">
        <v>0</v>
      </c>
      <c r="H11" s="10">
        <v>0</v>
      </c>
      <c r="I11" s="13">
        <v>0</v>
      </c>
      <c r="J11" s="13">
        <v>0</v>
      </c>
    </row>
    <row r="12" spans="1:10">
      <c r="A12" s="10" t="s">
        <v>24</v>
      </c>
      <c r="B12" s="11">
        <v>10</v>
      </c>
      <c r="C12" s="12">
        <v>0.4</v>
      </c>
      <c r="D12" s="12">
        <v>0.6</v>
      </c>
      <c r="E12" s="11">
        <v>17</v>
      </c>
      <c r="F12" s="12">
        <v>0.7058824</v>
      </c>
      <c r="G12" s="12">
        <v>0.9411765</v>
      </c>
      <c r="H12" s="11">
        <v>0</v>
      </c>
      <c r="I12" s="12">
        <v>0</v>
      </c>
      <c r="J12" s="12">
        <v>0</v>
      </c>
    </row>
    <row r="13" spans="1:10">
      <c r="A13" s="10" t="s">
        <v>25</v>
      </c>
      <c r="B13" s="10">
        <v>0</v>
      </c>
      <c r="C13" s="13">
        <v>0</v>
      </c>
      <c r="D13" s="13">
        <v>0</v>
      </c>
      <c r="E13" s="10">
        <v>0</v>
      </c>
      <c r="F13" s="13">
        <v>0</v>
      </c>
      <c r="G13" s="13">
        <v>0</v>
      </c>
      <c r="H13" s="10">
        <v>0</v>
      </c>
      <c r="I13" s="13">
        <v>0</v>
      </c>
      <c r="J13" s="13">
        <v>0</v>
      </c>
    </row>
    <row r="14" spans="1:10">
      <c r="A14" s="10" t="s">
        <v>26</v>
      </c>
      <c r="B14" s="11">
        <v>9</v>
      </c>
      <c r="C14" s="12">
        <v>0.6666667</v>
      </c>
      <c r="D14" s="12">
        <v>1</v>
      </c>
      <c r="E14" s="11">
        <v>12</v>
      </c>
      <c r="F14" s="12">
        <v>0.6666667</v>
      </c>
      <c r="G14" s="12">
        <v>0.9166667</v>
      </c>
      <c r="H14" s="11">
        <v>1</v>
      </c>
      <c r="I14" s="12">
        <v>1</v>
      </c>
      <c r="J14" s="12">
        <v>1</v>
      </c>
    </row>
    <row r="15" spans="1:10">
      <c r="A15" s="10" t="s">
        <v>27</v>
      </c>
      <c r="B15" s="10">
        <v>0</v>
      </c>
      <c r="C15" s="13">
        <v>0</v>
      </c>
      <c r="D15" s="13">
        <v>0</v>
      </c>
      <c r="E15" s="10">
        <v>0</v>
      </c>
      <c r="F15" s="13">
        <v>0</v>
      </c>
      <c r="G15" s="13">
        <v>0</v>
      </c>
      <c r="H15" s="10">
        <v>0</v>
      </c>
      <c r="I15" s="13">
        <v>0</v>
      </c>
      <c r="J15" s="13">
        <v>0</v>
      </c>
    </row>
    <row r="16" spans="1:10">
      <c r="A16" s="10" t="s">
        <v>28</v>
      </c>
      <c r="B16" s="11">
        <v>15</v>
      </c>
      <c r="C16" s="12">
        <v>0.8</v>
      </c>
      <c r="D16" s="12">
        <v>1</v>
      </c>
      <c r="E16" s="11">
        <v>8</v>
      </c>
      <c r="F16" s="12">
        <v>0.875</v>
      </c>
      <c r="G16" s="12">
        <v>0.875</v>
      </c>
      <c r="H16" s="11">
        <v>0</v>
      </c>
      <c r="I16" s="12">
        <v>0</v>
      </c>
      <c r="J16" s="12">
        <v>0</v>
      </c>
    </row>
    <row r="17" spans="1:10">
      <c r="A17" s="10" t="s">
        <v>29</v>
      </c>
      <c r="B17" s="10">
        <v>0</v>
      </c>
      <c r="C17" s="13">
        <v>0</v>
      </c>
      <c r="D17" s="13">
        <v>0</v>
      </c>
      <c r="E17" s="10">
        <v>0</v>
      </c>
      <c r="F17" s="13">
        <v>0</v>
      </c>
      <c r="G17" s="13">
        <v>0</v>
      </c>
      <c r="H17" s="10">
        <v>0</v>
      </c>
      <c r="I17" s="13">
        <v>0</v>
      </c>
      <c r="J17" s="13">
        <v>0</v>
      </c>
    </row>
    <row r="18" spans="1:10">
      <c r="A18" s="14" t="s">
        <v>87</v>
      </c>
      <c r="B18" s="15" t="str">
        <f>SUM(B6:B17)</f>
        <v>0</v>
      </c>
      <c r="C18" s="16" t="str">
        <f>((B6*C6)+(B7*C7)+(B8*C8)+(B9*C9)+(B10*C10)+(B11*C11)+(B12*C12)+(B13*C13)+(B14*C14)+(B15*C15)+(B16*C16)+(B17*C17))/B18</f>
        <v>0</v>
      </c>
      <c r="D18" s="16" t="str">
        <f>((B6*D6)+(B7*D7)+(B8*D8)+(B9*D9)+(B10*D10)+(B11*D11)+(B12*D12)+(B13*D13)+(B14*D14)+(B15*D15)+(B16*D16)+(B17*D17))/B18</f>
        <v>0</v>
      </c>
      <c r="E18" s="15" t="str">
        <f>SUM(E6:E17)</f>
        <v>0</v>
      </c>
      <c r="F18" s="16" t="str">
        <f>((E6*F6)+(E7*F7)+(E8*F8)+(E9*F9)+(E10*F10)+(E11*F11)+(E12*F12)+(E13*F13)+(E14*F14)+(E15*F15)+(E16*F16)+(E17*F17))/E18</f>
        <v>0</v>
      </c>
      <c r="G18" s="16" t="str">
        <f>((E6*G6)+(E7*G7)+(E8*G8)+(E9*G9)+(E10*G10)+(E11*G11)+(E12*G12)+(E13*G13)+(E14*G14)+(E15*G15)+(E16*G16)+(E17*G17))/E18</f>
        <v>0</v>
      </c>
      <c r="H18" s="15" t="str">
        <f>SUM(H6:H17)</f>
        <v>0</v>
      </c>
      <c r="I18" s="16" t="str">
        <f>((H6*I6)+(H7*I7)+(H8*I8)+(H9*I9)+(H10*I10)+(H11*I11)+(H12*I12)+(H13*I13)+(H14*I14)+(H15*I15)+(H16*I16)+(H17*I17))/H18</f>
        <v>0</v>
      </c>
      <c r="J18" s="16" t="str">
        <f>((H6*J6)+(H7*J7)+(H8*J8)+(H9*J9)+(H10*J10)+(H11*J11)+(H12*J12)+(H13*J13)+(H14*J14)+(H15*J15)+(H16*J16)+(H17*J17))/H18</f>
        <v>0</v>
      </c>
    </row>
    <row r="20" spans="1:10">
      <c r="B20" s="9" t="s">
        <v>100</v>
      </c>
      <c r="C20" s="9"/>
      <c r="D20" s="9"/>
      <c r="E20" s="9" t="s">
        <v>101</v>
      </c>
      <c r="F20" s="9"/>
      <c r="G20" s="9"/>
      <c r="H20" s="9" t="s">
        <v>102</v>
      </c>
      <c r="I20" s="9"/>
      <c r="J20" s="9"/>
    </row>
    <row r="21" spans="1:10">
      <c r="A21" s="9" t="s">
        <v>31</v>
      </c>
      <c r="B21" s="9" t="s">
        <v>84</v>
      </c>
      <c r="C21" s="9" t="s">
        <v>85</v>
      </c>
      <c r="D21" s="9" t="s">
        <v>86</v>
      </c>
      <c r="E21" s="9" t="s">
        <v>84</v>
      </c>
      <c r="F21" s="9" t="s">
        <v>85</v>
      </c>
      <c r="G21" s="9" t="s">
        <v>86</v>
      </c>
      <c r="H21" s="9" t="s">
        <v>84</v>
      </c>
      <c r="I21" s="9" t="s">
        <v>85</v>
      </c>
      <c r="J21" s="9" t="s">
        <v>86</v>
      </c>
    </row>
    <row r="22" spans="1:10">
      <c r="A22" s="10" t="s">
        <v>57</v>
      </c>
      <c r="B22" s="11">
        <v>21</v>
      </c>
      <c r="C22" s="12">
        <v>0.952381</v>
      </c>
      <c r="D22" s="12">
        <v>0.952381</v>
      </c>
      <c r="E22" s="11">
        <v>24</v>
      </c>
      <c r="F22" s="12">
        <v>0.8333333</v>
      </c>
      <c r="G22" s="12">
        <v>0.875</v>
      </c>
      <c r="H22" s="11">
        <v>0</v>
      </c>
      <c r="I22" s="12">
        <v>0</v>
      </c>
      <c r="J22" s="12">
        <v>0</v>
      </c>
    </row>
    <row r="23" spans="1:10">
      <c r="A23" s="10" t="s">
        <v>58</v>
      </c>
      <c r="B23" s="10">
        <v>21</v>
      </c>
      <c r="C23" s="13">
        <v>0.5714286</v>
      </c>
      <c r="D23" s="13">
        <v>0.7619048</v>
      </c>
      <c r="E23" s="10">
        <v>33</v>
      </c>
      <c r="F23" s="13">
        <v>0.7272727</v>
      </c>
      <c r="G23" s="13">
        <v>0.9393939</v>
      </c>
      <c r="H23" s="10">
        <v>0</v>
      </c>
      <c r="I23" s="13">
        <v>0</v>
      </c>
      <c r="J23" s="13">
        <v>0</v>
      </c>
    </row>
    <row r="24" spans="1:10">
      <c r="A24" s="10" t="s">
        <v>59</v>
      </c>
      <c r="B24" s="11">
        <v>24</v>
      </c>
      <c r="C24" s="12">
        <v>0.75</v>
      </c>
      <c r="D24" s="12">
        <v>1</v>
      </c>
      <c r="E24" s="11">
        <v>20</v>
      </c>
      <c r="F24" s="12">
        <v>0.75</v>
      </c>
      <c r="G24" s="12">
        <v>0.9</v>
      </c>
      <c r="H24" s="11">
        <v>1</v>
      </c>
      <c r="I24" s="12">
        <v>1</v>
      </c>
      <c r="J24" s="12">
        <v>1</v>
      </c>
    </row>
    <row r="25" spans="1:10">
      <c r="A25" s="14" t="s">
        <v>87</v>
      </c>
      <c r="B25" s="15" t="str">
        <f>SUM(B22:B24)</f>
        <v>0</v>
      </c>
      <c r="C25" s="16" t="str">
        <f>((B22*C22)+(B23*C23)+(B24*C24))/B25</f>
        <v>0</v>
      </c>
      <c r="D25" s="16" t="str">
        <f>((B22*D22)+(B23*D23)+(B24*D24))/B25</f>
        <v>0</v>
      </c>
      <c r="E25" s="15" t="str">
        <f>SUM(E22:E24)</f>
        <v>0</v>
      </c>
      <c r="F25" s="16" t="str">
        <f>((E22*F22)+(E23*F23)+(E24*F24))/E25</f>
        <v>0</v>
      </c>
      <c r="G25" s="16" t="str">
        <f>((E22*G22)+(E23*G23)+(E24*G24))/E25</f>
        <v>0</v>
      </c>
      <c r="H25" s="15" t="str">
        <f>SUM(H22:H24)</f>
        <v>0</v>
      </c>
      <c r="I25" s="16" t="str">
        <f>((H22*I22)+(H23*I23)+(H24*I24))/H25</f>
        <v>0</v>
      </c>
      <c r="J25" s="16" t="str">
        <f>((H22*J22)+(H23*J23)+(H24*J24))/H25</f>
        <v>0</v>
      </c>
    </row>
    <row r="28" spans="1:10">
      <c r="A28" s="6" t="s">
        <v>35</v>
      </c>
      <c r="B28" s="8"/>
      <c r="C28" s="8"/>
      <c r="D28" s="8"/>
      <c r="E28" s="8"/>
      <c r="F28" s="8"/>
      <c r="G28" s="8"/>
      <c r="H28" s="8"/>
      <c r="I28" s="8"/>
      <c r="J28" s="8"/>
    </row>
    <row r="30" spans="1:10">
      <c r="A30" s="17" t="s">
        <v>36</v>
      </c>
      <c r="B30" s="18"/>
      <c r="C30" t="s">
        <v>37</v>
      </c>
      <c r="D30"/>
      <c r="E30"/>
      <c r="F30"/>
      <c r="G30"/>
      <c r="H30"/>
      <c r="I30"/>
      <c r="J30"/>
    </row>
    <row r="31" spans="1:10">
      <c r="A31" s="17" t="s">
        <v>40</v>
      </c>
      <c r="B31" s="18"/>
      <c r="C31" t="s">
        <v>41</v>
      </c>
      <c r="D31"/>
      <c r="E31"/>
      <c r="F31"/>
      <c r="G31"/>
      <c r="H31"/>
      <c r="I31"/>
      <c r="J31"/>
    </row>
    <row r="32" spans="1:10">
      <c r="A32" s="17" t="s">
        <v>73</v>
      </c>
      <c r="B32" s="18"/>
      <c r="C32" t="s">
        <v>88</v>
      </c>
      <c r="D32"/>
      <c r="E32"/>
      <c r="F32"/>
      <c r="G32"/>
      <c r="H32"/>
      <c r="I32"/>
      <c r="J32"/>
    </row>
    <row r="33" spans="1:10">
      <c r="A33" s="17" t="s">
        <v>75</v>
      </c>
      <c r="B33" s="18"/>
      <c r="C33" t="s">
        <v>76</v>
      </c>
      <c r="D33"/>
      <c r="E33"/>
      <c r="F33"/>
      <c r="G33"/>
      <c r="H33"/>
      <c r="I33"/>
      <c r="J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  <mergeCell ref="B20:D20"/>
    <mergeCell ref="E20:G20"/>
    <mergeCell ref="H20:J20"/>
    <mergeCell ref="A28:J28"/>
    <mergeCell ref="A30:B30"/>
    <mergeCell ref="C30:J30"/>
    <mergeCell ref="A31:B31"/>
    <mergeCell ref="C31:J31"/>
    <mergeCell ref="A32:B32"/>
    <mergeCell ref="C32:J32"/>
    <mergeCell ref="A33:B33"/>
    <mergeCell ref="C33:J33"/>
  </mergeCells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T11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hidden="true" customWidth="true" style="0"/>
    <col min="12" max="12" width="10" customWidth="true" style="0"/>
    <col min="13" max="13" width="10" hidden="true" customWidth="true" style="0"/>
    <col min="14" max="14" width="11" customWidth="true" style="0"/>
    <col min="15" max="15" width="8" customWidth="true" style="0"/>
    <col min="16" max="16" width="8" customWidth="true" style="0"/>
    <col min="17" max="17" width="8" customWidth="true" style="0"/>
    <col min="18" max="18" width="15" customWidth="true" style="0"/>
    <col min="19" max="19" width="10" customWidth="true" style="0"/>
    <col min="20" max="20" width="15" customWidth="true" style="0"/>
  </cols>
  <sheetData>
    <row r="1" spans="1:20">
      <c r="A1" s="6" t="s">
        <v>103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>
      <c r="A2" s="7" t="s">
        <v>104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>
      <c r="A3" s="7" t="s">
        <v>105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5" spans="1:20">
      <c r="A5" s="25" t="s">
        <v>106</v>
      </c>
      <c r="B5" s="26" t="s">
        <v>107</v>
      </c>
      <c r="C5" s="25" t="s">
        <v>108</v>
      </c>
      <c r="D5" s="26" t="s">
        <v>109</v>
      </c>
      <c r="E5" s="26" t="s">
        <v>110</v>
      </c>
      <c r="F5" s="26" t="s">
        <v>111</v>
      </c>
      <c r="G5" s="25" t="s">
        <v>112</v>
      </c>
      <c r="H5" s="25" t="s">
        <v>113</v>
      </c>
      <c r="I5" s="25" t="s">
        <v>114</v>
      </c>
      <c r="J5" s="25" t="s">
        <v>115</v>
      </c>
      <c r="K5" s="25" t="s">
        <v>116</v>
      </c>
      <c r="L5" s="25" t="s">
        <v>117</v>
      </c>
      <c r="M5" s="25" t="s">
        <v>118</v>
      </c>
      <c r="N5" s="25" t="s">
        <v>119</v>
      </c>
      <c r="O5" s="25" t="s">
        <v>120</v>
      </c>
      <c r="P5" s="25" t="s">
        <v>54</v>
      </c>
      <c r="Q5" s="25" t="s">
        <v>55</v>
      </c>
      <c r="R5" s="25" t="s">
        <v>121</v>
      </c>
      <c r="S5" s="25" t="s">
        <v>122</v>
      </c>
      <c r="T5" s="25" t="s">
        <v>123</v>
      </c>
    </row>
    <row r="6" spans="1:20">
      <c r="A6" s="27" t="s">
        <v>57</v>
      </c>
      <c r="B6" s="27" t="s">
        <v>18</v>
      </c>
      <c r="C6" s="27">
        <v>201510</v>
      </c>
      <c r="D6" s="27" t="s">
        <v>0</v>
      </c>
      <c r="E6" s="27" t="s">
        <v>124</v>
      </c>
      <c r="F6" s="27" t="s">
        <v>125</v>
      </c>
      <c r="G6" s="27">
        <v>1</v>
      </c>
      <c r="H6" s="27">
        <v>22</v>
      </c>
      <c r="I6" s="27">
        <v>23</v>
      </c>
      <c r="J6" s="27">
        <v>24</v>
      </c>
      <c r="K6" s="27">
        <v>22</v>
      </c>
      <c r="L6" s="29">
        <v>0.91667</v>
      </c>
      <c r="M6" s="27">
        <v>23</v>
      </c>
      <c r="N6" s="29">
        <v>0.95833</v>
      </c>
      <c r="O6" s="27">
        <v>5.625</v>
      </c>
      <c r="P6" s="27">
        <v>135</v>
      </c>
      <c r="Q6" s="27">
        <v>0.33</v>
      </c>
      <c r="R6" s="27">
        <v>409.09</v>
      </c>
      <c r="S6" s="27">
        <v>3.81</v>
      </c>
      <c r="T6" s="27">
        <v>35.43</v>
      </c>
    </row>
    <row r="7" spans="1:20">
      <c r="A7" s="28" t="s">
        <v>57</v>
      </c>
      <c r="B7" s="28" t="s">
        <v>20</v>
      </c>
      <c r="C7" s="28">
        <v>201520</v>
      </c>
      <c r="D7" s="28" t="s">
        <v>0</v>
      </c>
      <c r="E7" s="28" t="s">
        <v>124</v>
      </c>
      <c r="F7" s="28" t="s">
        <v>125</v>
      </c>
      <c r="G7" s="28">
        <v>1</v>
      </c>
      <c r="H7" s="28">
        <v>18</v>
      </c>
      <c r="I7" s="28">
        <v>18</v>
      </c>
      <c r="J7" s="28">
        <v>21</v>
      </c>
      <c r="K7" s="28">
        <v>18</v>
      </c>
      <c r="L7" s="30">
        <v>0.85714</v>
      </c>
      <c r="M7" s="28">
        <v>18</v>
      </c>
      <c r="N7" s="30">
        <v>0.85714</v>
      </c>
      <c r="O7" s="28">
        <v>5.625</v>
      </c>
      <c r="P7" s="28">
        <v>118.125</v>
      </c>
      <c r="Q7" s="28">
        <v>0.33</v>
      </c>
      <c r="R7" s="28">
        <v>357.95</v>
      </c>
      <c r="S7" s="28">
        <v>3.33</v>
      </c>
      <c r="T7" s="28">
        <v>35.47</v>
      </c>
    </row>
    <row r="8" spans="1:20">
      <c r="A8" s="27" t="s">
        <v>58</v>
      </c>
      <c r="B8" s="27" t="s">
        <v>22</v>
      </c>
      <c r="C8" s="27">
        <v>201610</v>
      </c>
      <c r="D8" s="27" t="s">
        <v>0</v>
      </c>
      <c r="E8" s="27" t="s">
        <v>124</v>
      </c>
      <c r="F8" s="27" t="s">
        <v>125</v>
      </c>
      <c r="G8" s="27">
        <v>1</v>
      </c>
      <c r="H8" s="27">
        <v>20</v>
      </c>
      <c r="I8" s="27">
        <v>25</v>
      </c>
      <c r="J8" s="27">
        <v>27</v>
      </c>
      <c r="K8" s="27">
        <v>20</v>
      </c>
      <c r="L8" s="29">
        <v>0.74074</v>
      </c>
      <c r="M8" s="27">
        <v>25</v>
      </c>
      <c r="N8" s="29">
        <v>0.92593</v>
      </c>
      <c r="O8" s="27">
        <v>5.625</v>
      </c>
      <c r="P8" s="27">
        <v>151.875</v>
      </c>
      <c r="Q8" s="27">
        <v>0.33</v>
      </c>
      <c r="R8" s="27">
        <v>460.23</v>
      </c>
      <c r="S8" s="27">
        <v>4.28</v>
      </c>
      <c r="T8" s="27">
        <v>35.48</v>
      </c>
    </row>
    <row r="9" spans="1:20">
      <c r="A9" s="28" t="s">
        <v>58</v>
      </c>
      <c r="B9" s="28" t="s">
        <v>24</v>
      </c>
      <c r="C9" s="28">
        <v>201620</v>
      </c>
      <c r="D9" s="28" t="s">
        <v>0</v>
      </c>
      <c r="E9" s="28" t="s">
        <v>124</v>
      </c>
      <c r="F9" s="28" t="s">
        <v>125</v>
      </c>
      <c r="G9" s="28">
        <v>1</v>
      </c>
      <c r="H9" s="28">
        <v>16</v>
      </c>
      <c r="I9" s="28">
        <v>22</v>
      </c>
      <c r="J9" s="28">
        <v>27</v>
      </c>
      <c r="K9" s="28">
        <v>16</v>
      </c>
      <c r="L9" s="30">
        <v>0.59259</v>
      </c>
      <c r="M9" s="28">
        <v>22</v>
      </c>
      <c r="N9" s="30">
        <v>0.81481</v>
      </c>
      <c r="O9" s="28">
        <v>5.625</v>
      </c>
      <c r="P9" s="28">
        <v>151.875</v>
      </c>
      <c r="Q9" s="28">
        <v>0.33</v>
      </c>
      <c r="R9" s="28">
        <v>460.23</v>
      </c>
      <c r="S9" s="28">
        <v>4.28</v>
      </c>
      <c r="T9" s="28">
        <v>35.48</v>
      </c>
    </row>
    <row r="10" spans="1:20">
      <c r="A10" s="27" t="s">
        <v>59</v>
      </c>
      <c r="B10" s="27" t="s">
        <v>26</v>
      </c>
      <c r="C10" s="27">
        <v>201710</v>
      </c>
      <c r="D10" s="27" t="s">
        <v>0</v>
      </c>
      <c r="E10" s="27" t="s">
        <v>124</v>
      </c>
      <c r="F10" s="27" t="s">
        <v>125</v>
      </c>
      <c r="G10" s="27">
        <v>1</v>
      </c>
      <c r="H10" s="27">
        <v>15</v>
      </c>
      <c r="I10" s="27">
        <v>21</v>
      </c>
      <c r="J10" s="27">
        <v>22</v>
      </c>
      <c r="K10" s="27">
        <v>15</v>
      </c>
      <c r="L10" s="29">
        <v>0.68182</v>
      </c>
      <c r="M10" s="27">
        <v>21</v>
      </c>
      <c r="N10" s="29">
        <v>0.95455</v>
      </c>
      <c r="O10" s="27">
        <v>5.625</v>
      </c>
      <c r="P10" s="27">
        <v>123.75</v>
      </c>
      <c r="Q10" s="27">
        <v>0.33</v>
      </c>
      <c r="R10" s="27">
        <v>375</v>
      </c>
      <c r="S10" s="27">
        <v>3.49</v>
      </c>
      <c r="T10" s="27">
        <v>35.46</v>
      </c>
    </row>
    <row r="11" spans="1:20">
      <c r="A11" s="28" t="s">
        <v>59</v>
      </c>
      <c r="B11" s="28" t="s">
        <v>28</v>
      </c>
      <c r="C11" s="28">
        <v>201720</v>
      </c>
      <c r="D11" s="28" t="s">
        <v>0</v>
      </c>
      <c r="E11" s="28" t="s">
        <v>124</v>
      </c>
      <c r="F11" s="28" t="s">
        <v>125</v>
      </c>
      <c r="G11" s="28">
        <v>1</v>
      </c>
      <c r="H11" s="28">
        <v>19</v>
      </c>
      <c r="I11" s="28">
        <v>22</v>
      </c>
      <c r="J11" s="28">
        <v>23</v>
      </c>
      <c r="K11" s="28">
        <v>19</v>
      </c>
      <c r="L11" s="30">
        <v>0.82609</v>
      </c>
      <c r="M11" s="28">
        <v>22</v>
      </c>
      <c r="N11" s="30">
        <v>0.95652</v>
      </c>
      <c r="O11" s="28">
        <v>5.625</v>
      </c>
      <c r="P11" s="28">
        <v>129.375</v>
      </c>
      <c r="Q11" s="28">
        <v>0.33</v>
      </c>
      <c r="R11" s="28">
        <v>392.05</v>
      </c>
      <c r="S11" s="28">
        <v>3.65</v>
      </c>
      <c r="T11" s="28">
        <v>35.45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T11"/>
  <mergeCells>
    <mergeCell ref="A1:T1"/>
    <mergeCell ref="A2:T2"/>
    <mergeCell ref="A3:T3"/>
  </mergeCells>
  <conditionalFormatting sqref="L6:L11">
    <cfRule type="cellIs" dxfId="0" priority="1" operator="lessThan">
      <formula>0.7</formula>
    </cfRule>
  </conditionalFormatting>
  <conditionalFormatting sqref="N6:N11">
    <cfRule type="cellIs" dxfId="1" priority="2" operator="lessThan">
      <formula>0.86</formula>
    </cfRule>
  </conditionalFormatting>
  <conditionalFormatting sqref="R6:R11">
    <cfRule type="cellIs" dxfId="2" priority="3" operator="lessThan">
      <formula>565</formula>
    </cfRule>
  </conditionalFormatting>
  <conditionalFormatting sqref="R6:R11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  <pageSetUpPr fitToPage="1"/>
  </sheetPr>
  <dimension ref="A1:S11"/>
  <sheetViews>
    <sheetView tabSelected="0" workbookViewId="0" showGridLines="true" showRowColHeaders="1">
      <selection activeCell="R6" sqref="R6"/>
    </sheetView>
  </sheetViews>
  <sheetFormatPr defaultRowHeight="14.4" outlineLevelRow="0" outlineLevelCol="0"/>
  <cols>
    <col min="1" max="1" width="15" customWidth="true" style="0"/>
    <col min="2" max="2" width="14" hidden="true" customWidth="true" style="0"/>
    <col min="3" max="3" width="12" customWidth="true" style="0"/>
    <col min="4" max="4" width="8" customWidth="true" style="0"/>
    <col min="5" max="5" width="8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8" customWidth="true" style="0"/>
    <col min="11" max="11" width="10" customWidth="true" style="0"/>
    <col min="12" max="12" width="10" customWidth="true" style="0"/>
    <col min="13" max="13" width="10" customWidth="true" style="0"/>
    <col min="14" max="14" width="11" customWidth="true" style="0"/>
    <col min="15" max="15" width="8" customWidth="true" style="0"/>
    <col min="16" max="16" width="8" customWidth="true" style="0"/>
    <col min="17" max="17" width="15" customWidth="true" style="0"/>
    <col min="18" max="18" width="12" customWidth="true" style="0"/>
    <col min="19" max="19" width="15" customWidth="true" style="0"/>
  </cols>
  <sheetData>
    <row r="1" spans="1:19">
      <c r="A1" s="6" t="s">
        <v>126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</row>
    <row r="2" spans="1:19">
      <c r="A2" s="7" t="s">
        <v>127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</row>
    <row r="3" spans="1:19">
      <c r="A3" s="7" t="s">
        <v>105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</row>
    <row r="5" spans="1:19">
      <c r="A5" s="25" t="s">
        <v>106</v>
      </c>
      <c r="B5" s="26" t="s">
        <v>107</v>
      </c>
      <c r="C5" s="25" t="s">
        <v>108</v>
      </c>
      <c r="D5" s="25" t="s">
        <v>128</v>
      </c>
      <c r="E5" s="26" t="s">
        <v>109</v>
      </c>
      <c r="F5" s="26" t="s">
        <v>110</v>
      </c>
      <c r="G5" s="26" t="s">
        <v>111</v>
      </c>
      <c r="H5" s="26" t="s">
        <v>129</v>
      </c>
      <c r="I5" s="26" t="s">
        <v>130</v>
      </c>
      <c r="J5" s="25" t="s">
        <v>113</v>
      </c>
      <c r="K5" s="25" t="s">
        <v>114</v>
      </c>
      <c r="L5" s="25" t="s">
        <v>115</v>
      </c>
      <c r="M5" s="25" t="s">
        <v>117</v>
      </c>
      <c r="N5" s="25" t="s">
        <v>119</v>
      </c>
      <c r="O5" s="25" t="s">
        <v>131</v>
      </c>
      <c r="P5" s="25" t="s">
        <v>120</v>
      </c>
      <c r="Q5" s="25" t="s">
        <v>55</v>
      </c>
      <c r="R5" s="25" t="s">
        <v>121</v>
      </c>
      <c r="S5" s="25" t="s">
        <v>122</v>
      </c>
    </row>
    <row r="6" spans="1:19">
      <c r="A6" s="27" t="s">
        <v>57</v>
      </c>
      <c r="B6" s="27" t="s">
        <v>18</v>
      </c>
      <c r="C6" s="27">
        <v>201510</v>
      </c>
      <c r="D6" s="27">
        <v>10469</v>
      </c>
      <c r="E6" s="27" t="s">
        <v>0</v>
      </c>
      <c r="F6" s="27" t="s">
        <v>124</v>
      </c>
      <c r="G6" s="27" t="s">
        <v>125</v>
      </c>
      <c r="H6" s="27" t="s">
        <v>132</v>
      </c>
      <c r="I6" s="27" t="s">
        <v>133</v>
      </c>
      <c r="J6" s="27">
        <v>22</v>
      </c>
      <c r="K6" s="27">
        <v>23</v>
      </c>
      <c r="L6" s="27">
        <v>24</v>
      </c>
      <c r="M6" s="29">
        <v>0.91667</v>
      </c>
      <c r="N6" s="29">
        <v>0.95833</v>
      </c>
      <c r="O6" s="27">
        <v>3.13</v>
      </c>
      <c r="P6" s="27">
        <v>5.625</v>
      </c>
      <c r="Q6" s="27">
        <v>0.33</v>
      </c>
      <c r="R6" s="27">
        <v>409.09</v>
      </c>
      <c r="S6" s="27">
        <v>4.1</v>
      </c>
    </row>
    <row r="7" spans="1:19">
      <c r="A7" s="28" t="s">
        <v>57</v>
      </c>
      <c r="B7" s="28" t="s">
        <v>20</v>
      </c>
      <c r="C7" s="28">
        <v>201520</v>
      </c>
      <c r="D7" s="28">
        <v>20124</v>
      </c>
      <c r="E7" s="28" t="s">
        <v>0</v>
      </c>
      <c r="F7" s="28" t="s">
        <v>124</v>
      </c>
      <c r="G7" s="28" t="s">
        <v>125</v>
      </c>
      <c r="H7" s="28" t="s">
        <v>132</v>
      </c>
      <c r="I7" s="28" t="s">
        <v>133</v>
      </c>
      <c r="J7" s="28">
        <v>18</v>
      </c>
      <c r="K7" s="28">
        <v>18</v>
      </c>
      <c r="L7" s="28">
        <v>21</v>
      </c>
      <c r="M7" s="30">
        <v>0.85714</v>
      </c>
      <c r="N7" s="30">
        <v>0.85714</v>
      </c>
      <c r="O7" s="28">
        <v>2.71</v>
      </c>
      <c r="P7" s="28">
        <v>5.625</v>
      </c>
      <c r="Q7" s="28">
        <v>0.33</v>
      </c>
      <c r="R7" s="28">
        <v>357.95</v>
      </c>
      <c r="S7" s="28">
        <v>3.58</v>
      </c>
    </row>
    <row r="8" spans="1:19">
      <c r="A8" s="27" t="s">
        <v>58</v>
      </c>
      <c r="B8" s="27" t="s">
        <v>22</v>
      </c>
      <c r="C8" s="27">
        <v>201610</v>
      </c>
      <c r="D8" s="27">
        <v>10380</v>
      </c>
      <c r="E8" s="27" t="s">
        <v>0</v>
      </c>
      <c r="F8" s="27" t="s">
        <v>124</v>
      </c>
      <c r="G8" s="27" t="s">
        <v>125</v>
      </c>
      <c r="H8" s="27" t="s">
        <v>132</v>
      </c>
      <c r="I8" s="27" t="s">
        <v>133</v>
      </c>
      <c r="J8" s="27">
        <v>20</v>
      </c>
      <c r="K8" s="27">
        <v>25</v>
      </c>
      <c r="L8" s="27">
        <v>27</v>
      </c>
      <c r="M8" s="29">
        <v>0.74074</v>
      </c>
      <c r="N8" s="29">
        <v>0.92593</v>
      </c>
      <c r="O8" s="27">
        <v>2.81</v>
      </c>
      <c r="P8" s="27">
        <v>5.625</v>
      </c>
      <c r="Q8" s="27">
        <v>0.33</v>
      </c>
      <c r="R8" s="27">
        <v>460.23</v>
      </c>
      <c r="S8" s="27">
        <v>4.61</v>
      </c>
    </row>
    <row r="9" spans="1:19">
      <c r="A9" s="28" t="s">
        <v>58</v>
      </c>
      <c r="B9" s="28" t="s">
        <v>24</v>
      </c>
      <c r="C9" s="28">
        <v>201620</v>
      </c>
      <c r="D9" s="28">
        <v>20376</v>
      </c>
      <c r="E9" s="28" t="s">
        <v>0</v>
      </c>
      <c r="F9" s="28" t="s">
        <v>124</v>
      </c>
      <c r="G9" s="28" t="s">
        <v>125</v>
      </c>
      <c r="H9" s="28" t="s">
        <v>132</v>
      </c>
      <c r="I9" s="28" t="s">
        <v>133</v>
      </c>
      <c r="J9" s="28">
        <v>16</v>
      </c>
      <c r="K9" s="28">
        <v>22</v>
      </c>
      <c r="L9" s="28">
        <v>27</v>
      </c>
      <c r="M9" s="30">
        <v>0.59259</v>
      </c>
      <c r="N9" s="30">
        <v>0.81481</v>
      </c>
      <c r="O9" s="28">
        <v>2.41</v>
      </c>
      <c r="P9" s="28">
        <v>5.625</v>
      </c>
      <c r="Q9" s="28">
        <v>0.33</v>
      </c>
      <c r="R9" s="28">
        <v>460.23</v>
      </c>
      <c r="S9" s="28">
        <v>4.61</v>
      </c>
    </row>
    <row r="10" spans="1:19">
      <c r="A10" s="27" t="s">
        <v>59</v>
      </c>
      <c r="B10" s="27" t="s">
        <v>26</v>
      </c>
      <c r="C10" s="27">
        <v>201710</v>
      </c>
      <c r="D10" s="27">
        <v>10380</v>
      </c>
      <c r="E10" s="27" t="s">
        <v>0</v>
      </c>
      <c r="F10" s="27" t="s">
        <v>124</v>
      </c>
      <c r="G10" s="27" t="s">
        <v>125</v>
      </c>
      <c r="H10" s="27" t="s">
        <v>132</v>
      </c>
      <c r="I10" s="27" t="s">
        <v>133</v>
      </c>
      <c r="J10" s="27">
        <v>15</v>
      </c>
      <c r="K10" s="27">
        <v>21</v>
      </c>
      <c r="L10" s="27">
        <v>22</v>
      </c>
      <c r="M10" s="29">
        <v>0.68182</v>
      </c>
      <c r="N10" s="29">
        <v>0.95455</v>
      </c>
      <c r="O10" s="27">
        <v>2.82</v>
      </c>
      <c r="P10" s="27">
        <v>5.625</v>
      </c>
      <c r="Q10" s="27">
        <v>0.33</v>
      </c>
      <c r="R10" s="27">
        <v>375</v>
      </c>
      <c r="S10" s="27">
        <v>3.75</v>
      </c>
    </row>
    <row r="11" spans="1:19">
      <c r="A11" s="28" t="s">
        <v>59</v>
      </c>
      <c r="B11" s="28" t="s">
        <v>28</v>
      </c>
      <c r="C11" s="28">
        <v>201720</v>
      </c>
      <c r="D11" s="28">
        <v>20376</v>
      </c>
      <c r="E11" s="28" t="s">
        <v>0</v>
      </c>
      <c r="F11" s="28" t="s">
        <v>124</v>
      </c>
      <c r="G11" s="28" t="s">
        <v>125</v>
      </c>
      <c r="H11" s="28" t="s">
        <v>132</v>
      </c>
      <c r="I11" s="28" t="s">
        <v>133</v>
      </c>
      <c r="J11" s="28">
        <v>19</v>
      </c>
      <c r="K11" s="28">
        <v>22</v>
      </c>
      <c r="L11" s="28">
        <v>23</v>
      </c>
      <c r="M11" s="30">
        <v>0.82609</v>
      </c>
      <c r="N11" s="30">
        <v>0.95652</v>
      </c>
      <c r="O11" s="28">
        <v>2.78</v>
      </c>
      <c r="P11" s="28">
        <v>5.625</v>
      </c>
      <c r="Q11" s="28">
        <v>0.33</v>
      </c>
      <c r="R11" s="28">
        <v>392.05</v>
      </c>
      <c r="S11" s="28">
        <v>3.93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S11"/>
  <mergeCells>
    <mergeCell ref="A1:S1"/>
    <mergeCell ref="A2:S2"/>
    <mergeCell ref="A3:S3"/>
  </mergeCells>
  <conditionalFormatting sqref="M6:M11">
    <cfRule type="cellIs" dxfId="0" priority="1" operator="lessThan">
      <formula>0.7</formula>
    </cfRule>
  </conditionalFormatting>
  <conditionalFormatting sqref="N6:N11">
    <cfRule type="cellIs" dxfId="1" priority="2" operator="lessThan">
      <formula>0.86</formula>
    </cfRule>
  </conditionalFormatting>
  <conditionalFormatting sqref="R6:R11">
    <cfRule type="cellIs" dxfId="2" priority="3" operator="lessThan">
      <formula>565</formula>
    </cfRule>
  </conditionalFormatting>
  <conditionalFormatting sqref="R6:R11">
    <cfRule type="cellIs" dxfId="3" priority="4" operator="greaterThanOrEqual">
      <formula>565</formula>
    </cfRule>
  </conditionalFormatting>
  <printOptions gridLines="false" gridLinesSet="true"/>
  <pageMargins left="0.4" right="0.4" top="0.6" bottom="0.6" header="0.3" footer="0.3"/>
  <pageSetup paperSize="1" orientation="landscape" scale="100" fitToHeight="0" fitToWidth="1"/>
  <headerFooter differentOddEven="false" differentFirst="false" scaleWithDoc="true" alignWithMargins="true">
    <oddHeader>&amp;L&amp;B2017-2018 IVC Research Report for ARAB&amp;RPrinted on &amp;D</oddHeader>
    <oddFooter>&amp;L&amp;BGenerated By: Office of Institutional Research&amp;RPage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F. SUCC &amp; RET BY GENDER</vt:lpstr>
      <vt:lpstr>H. COURSE DATA</vt:lpstr>
      <vt:lpstr>I. 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Institutional Research</dc:creator>
  <cp:lastModifiedBy>Office of Institutional Research</cp:lastModifiedBy>
  <dcterms:created xsi:type="dcterms:W3CDTF">2017-08-11T23:45:42+02:00</dcterms:created>
  <dcterms:modified xsi:type="dcterms:W3CDTF">2017-08-11T23:45:42+02:00</dcterms:modified>
  <dc:title>2017-2018 IVC Research Report for ARAB</dc:title>
  <dc:description>ARAB Specific Report Generated from Banner Data.</dc:description>
  <dc:subject>2017-2018 IVC Research Report for ARAB</dc:subject>
  <cp:keywords/>
  <cp:category/>
</cp:coreProperties>
</file>